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aldeu\ELKARLAN\110 - Kirolak - Dokumentuak\DORLETA\BERDINTASUNA\Datuak eta estatistikak\"/>
    </mc:Choice>
  </mc:AlternateContent>
  <bookViews>
    <workbookView xWindow="120" yWindow="45" windowWidth="11595" windowHeight="5130" tabRatio="601" firstSheet="2" activeTab="19"/>
  </bookViews>
  <sheets>
    <sheet name="Evol. Muj." sheetId="15" r:id="rId1"/>
    <sheet name="Evol. Lic." sheetId="30" r:id="rId2"/>
    <sheet name="2005" sheetId="1" r:id="rId3"/>
    <sheet name="2006" sheetId="7" r:id="rId4"/>
    <sheet name="2007" sheetId="8" r:id="rId5"/>
    <sheet name="2008" sheetId="10" r:id="rId6"/>
    <sheet name="2009" sheetId="13" r:id="rId7"/>
    <sheet name="2010" sheetId="14" r:id="rId8"/>
    <sheet name="2011" sheetId="18" r:id="rId9"/>
    <sheet name="2012" sheetId="19" r:id="rId10"/>
    <sheet name="2013" sheetId="20" r:id="rId11"/>
    <sheet name="2014" sheetId="21" r:id="rId12"/>
    <sheet name="2015" sheetId="22" r:id="rId13"/>
    <sheet name="2016" sheetId="23" r:id="rId14"/>
    <sheet name="2017" sheetId="24" r:id="rId15"/>
    <sheet name="2018" sheetId="25" r:id="rId16"/>
    <sheet name="2019" sheetId="26" r:id="rId17"/>
    <sheet name="2020" sheetId="27" r:id="rId18"/>
    <sheet name="2021" sheetId="28" r:id="rId19"/>
    <sheet name="2022" sheetId="31" r:id="rId20"/>
  </sheets>
  <definedNames>
    <definedName name="_xlnm.Print_Area" localSheetId="2">'2005'!$A$1:$G$59</definedName>
    <definedName name="_xlnm.Print_Area" localSheetId="3">'2006'!$A$1:$G$58</definedName>
  </definedNames>
  <calcPr calcId="162913"/>
</workbook>
</file>

<file path=xl/calcChain.xml><?xml version="1.0" encoding="utf-8"?>
<calcChain xmlns="http://schemas.openxmlformats.org/spreadsheetml/2006/main">
  <c r="O58" i="15" l="1"/>
  <c r="P58" i="15"/>
  <c r="Q58" i="15"/>
  <c r="R58" i="15"/>
  <c r="S57" i="30" l="1"/>
  <c r="S57" i="15"/>
  <c r="E6" i="27" l="1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6" i="27"/>
  <c r="C52" i="25" l="1"/>
  <c r="B52" i="25"/>
  <c r="D51" i="25"/>
  <c r="E51" i="25" s="1"/>
  <c r="D50" i="25"/>
  <c r="E50" i="25" s="1"/>
  <c r="D49" i="25"/>
  <c r="E49" i="25" s="1"/>
  <c r="D48" i="25"/>
  <c r="E48" i="25" s="1"/>
  <c r="D47" i="25"/>
  <c r="E47" i="25" s="1"/>
  <c r="D46" i="25"/>
  <c r="E46" i="25" s="1"/>
  <c r="D45" i="25"/>
  <c r="E45" i="25" s="1"/>
  <c r="D44" i="25"/>
  <c r="E44" i="25" s="1"/>
  <c r="D43" i="25"/>
  <c r="E43" i="25" s="1"/>
  <c r="D42" i="25"/>
  <c r="E42" i="25" s="1"/>
  <c r="D41" i="25"/>
  <c r="E41" i="25" s="1"/>
  <c r="D40" i="25"/>
  <c r="E40" i="25" s="1"/>
  <c r="D39" i="25"/>
  <c r="E39" i="25" s="1"/>
  <c r="D38" i="25"/>
  <c r="E38" i="25" s="1"/>
  <c r="D37" i="25"/>
  <c r="E37" i="25" s="1"/>
  <c r="D36" i="25"/>
  <c r="E36" i="25" s="1"/>
  <c r="D35" i="25"/>
  <c r="E35" i="25" s="1"/>
  <c r="D34" i="25"/>
  <c r="E34" i="25" s="1"/>
  <c r="D33" i="25"/>
  <c r="E33" i="25" s="1"/>
  <c r="D32" i="25"/>
  <c r="E32" i="25" s="1"/>
  <c r="D31" i="25"/>
  <c r="E31" i="25" s="1"/>
  <c r="D30" i="25"/>
  <c r="E30" i="25" s="1"/>
  <c r="D29" i="25"/>
  <c r="E29" i="25" s="1"/>
  <c r="D28" i="25"/>
  <c r="E28" i="25" s="1"/>
  <c r="D27" i="25"/>
  <c r="E27" i="25" s="1"/>
  <c r="D26" i="25"/>
  <c r="E26" i="25" s="1"/>
  <c r="D25" i="25"/>
  <c r="E25" i="25" s="1"/>
  <c r="D24" i="25"/>
  <c r="E24" i="25" s="1"/>
  <c r="D23" i="25"/>
  <c r="E23" i="25" s="1"/>
  <c r="D22" i="25"/>
  <c r="E22" i="25" s="1"/>
  <c r="D21" i="25"/>
  <c r="E21" i="25" s="1"/>
  <c r="D20" i="25"/>
  <c r="E20" i="25" s="1"/>
  <c r="D19" i="25"/>
  <c r="E19" i="25" s="1"/>
  <c r="D18" i="25"/>
  <c r="E18" i="25" s="1"/>
  <c r="D17" i="25"/>
  <c r="E17" i="25" s="1"/>
  <c r="D16" i="25"/>
  <c r="E16" i="25" s="1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9" i="25"/>
  <c r="E9" i="25" s="1"/>
  <c r="D8" i="25"/>
  <c r="E8" i="25" s="1"/>
  <c r="D7" i="25"/>
  <c r="E7" i="25" s="1"/>
  <c r="D6" i="25"/>
  <c r="E6" i="25" s="1"/>
  <c r="D5" i="25"/>
  <c r="E5" i="25" s="1"/>
  <c r="E11" i="24"/>
  <c r="E12" i="24"/>
  <c r="E5" i="24"/>
  <c r="C52" i="24"/>
  <c r="B52" i="24"/>
  <c r="E6" i="24"/>
  <c r="E7" i="24"/>
  <c r="E8" i="24"/>
  <c r="E9" i="24"/>
  <c r="E10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C54" i="31"/>
  <c r="B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2" i="25" l="1"/>
  <c r="F13" i="25" s="1"/>
  <c r="E13" i="24"/>
  <c r="D52" i="24"/>
  <c r="F21" i="31"/>
  <c r="E34" i="31"/>
  <c r="E40" i="31"/>
  <c r="E46" i="31"/>
  <c r="E52" i="31"/>
  <c r="D54" i="31"/>
  <c r="F25" i="31" s="1"/>
  <c r="F6" i="31"/>
  <c r="E6" i="31"/>
  <c r="E10" i="31"/>
  <c r="E14" i="31"/>
  <c r="E18" i="31"/>
  <c r="E22" i="31"/>
  <c r="E26" i="31"/>
  <c r="E30" i="31"/>
  <c r="E36" i="31"/>
  <c r="E42" i="31"/>
  <c r="E48" i="31"/>
  <c r="F8" i="31"/>
  <c r="F12" i="31"/>
  <c r="E32" i="31"/>
  <c r="E38" i="31"/>
  <c r="E44" i="31"/>
  <c r="E50" i="31"/>
  <c r="E8" i="31"/>
  <c r="E12" i="31"/>
  <c r="E16" i="31"/>
  <c r="E20" i="31"/>
  <c r="E24" i="31"/>
  <c r="E28" i="31"/>
  <c r="E7" i="31"/>
  <c r="E9" i="31"/>
  <c r="E11" i="31"/>
  <c r="E13" i="31"/>
  <c r="E15" i="31"/>
  <c r="E17" i="31"/>
  <c r="E19" i="31"/>
  <c r="E21" i="31"/>
  <c r="E23" i="31"/>
  <c r="E25" i="31"/>
  <c r="E27" i="31"/>
  <c r="E29" i="31"/>
  <c r="E31" i="31"/>
  <c r="E33" i="31"/>
  <c r="E35" i="31"/>
  <c r="E37" i="31"/>
  <c r="E39" i="31"/>
  <c r="E41" i="31"/>
  <c r="E43" i="31"/>
  <c r="E45" i="31"/>
  <c r="E47" i="31"/>
  <c r="E49" i="31"/>
  <c r="E51" i="31"/>
  <c r="E53" i="31"/>
  <c r="F50" i="31" l="1"/>
  <c r="E54" i="31"/>
  <c r="S58" i="15" s="1"/>
  <c r="F27" i="31"/>
  <c r="F36" i="31"/>
  <c r="F23" i="31"/>
  <c r="F30" i="31"/>
  <c r="F32" i="31"/>
  <c r="F26" i="31"/>
  <c r="F20" i="25"/>
  <c r="F38" i="25"/>
  <c r="F31" i="25"/>
  <c r="F10" i="25"/>
  <c r="F35" i="25"/>
  <c r="F17" i="25"/>
  <c r="F49" i="25"/>
  <c r="F28" i="25"/>
  <c r="F7" i="25"/>
  <c r="F50" i="25"/>
  <c r="F32" i="25"/>
  <c r="F14" i="25"/>
  <c r="F46" i="25"/>
  <c r="F25" i="25"/>
  <c r="E52" i="25"/>
  <c r="F47" i="25"/>
  <c r="F29" i="25"/>
  <c r="F11" i="25"/>
  <c r="F43" i="25"/>
  <c r="F22" i="25"/>
  <c r="F44" i="25"/>
  <c r="F26" i="25"/>
  <c r="F8" i="25"/>
  <c r="F40" i="25"/>
  <c r="F19" i="25"/>
  <c r="F41" i="25"/>
  <c r="F23" i="25"/>
  <c r="F5" i="25"/>
  <c r="F37" i="25"/>
  <c r="F51" i="25"/>
  <c r="F48" i="25"/>
  <c r="F45" i="25"/>
  <c r="F42" i="25"/>
  <c r="F39" i="25"/>
  <c r="F36" i="25"/>
  <c r="F33" i="25"/>
  <c r="F30" i="25"/>
  <c r="F27" i="25"/>
  <c r="F24" i="25"/>
  <c r="F21" i="25"/>
  <c r="F18" i="25"/>
  <c r="F15" i="25"/>
  <c r="F12" i="25"/>
  <c r="F9" i="25"/>
  <c r="F6" i="25"/>
  <c r="F34" i="25"/>
  <c r="F16" i="25"/>
  <c r="F10" i="24"/>
  <c r="F16" i="24"/>
  <c r="F22" i="24"/>
  <c r="F28" i="24"/>
  <c r="F34" i="24"/>
  <c r="F40" i="24"/>
  <c r="F46" i="24"/>
  <c r="F5" i="24"/>
  <c r="F11" i="24"/>
  <c r="F17" i="24"/>
  <c r="F23" i="24"/>
  <c r="F29" i="24"/>
  <c r="F35" i="24"/>
  <c r="F41" i="24"/>
  <c r="F47" i="24"/>
  <c r="E52" i="24"/>
  <c r="F6" i="24"/>
  <c r="F12" i="24"/>
  <c r="F18" i="24"/>
  <c r="F24" i="24"/>
  <c r="F30" i="24"/>
  <c r="F36" i="24"/>
  <c r="F42" i="24"/>
  <c r="F48" i="24"/>
  <c r="F7" i="24"/>
  <c r="F19" i="24"/>
  <c r="F25" i="24"/>
  <c r="F31" i="24"/>
  <c r="F37" i="24"/>
  <c r="F43" i="24"/>
  <c r="F49" i="24"/>
  <c r="F8" i="24"/>
  <c r="F14" i="24"/>
  <c r="F20" i="24"/>
  <c r="F26" i="24"/>
  <c r="F32" i="24"/>
  <c r="F38" i="24"/>
  <c r="F44" i="24"/>
  <c r="F50" i="24"/>
  <c r="F9" i="24"/>
  <c r="F15" i="24"/>
  <c r="F21" i="24"/>
  <c r="F27" i="24"/>
  <c r="F33" i="24"/>
  <c r="F39" i="24"/>
  <c r="F45" i="24"/>
  <c r="F51" i="24"/>
  <c r="F13" i="24"/>
  <c r="F40" i="31"/>
  <c r="F17" i="31"/>
  <c r="F51" i="31"/>
  <c r="F28" i="31"/>
  <c r="F49" i="31"/>
  <c r="F19" i="31"/>
  <c r="F48" i="31"/>
  <c r="F53" i="31"/>
  <c r="F22" i="31"/>
  <c r="F13" i="31"/>
  <c r="F45" i="31"/>
  <c r="F44" i="31"/>
  <c r="F24" i="31"/>
  <c r="F43" i="31"/>
  <c r="F15" i="31"/>
  <c r="F47" i="31"/>
  <c r="F18" i="31"/>
  <c r="F52" i="31"/>
  <c r="F34" i="31"/>
  <c r="F9" i="31"/>
  <c r="F39" i="31"/>
  <c r="F20" i="31"/>
  <c r="F37" i="31"/>
  <c r="F11" i="31"/>
  <c r="F42" i="31"/>
  <c r="F41" i="31"/>
  <c r="F14" i="31"/>
  <c r="F29" i="31"/>
  <c r="F33" i="31"/>
  <c r="F38" i="31"/>
  <c r="F16" i="31"/>
  <c r="F31" i="31"/>
  <c r="F7" i="31"/>
  <c r="F35" i="31"/>
  <c r="F10" i="31"/>
  <c r="F46" i="31"/>
  <c r="F7" i="28" l="1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6" i="28"/>
  <c r="C53" i="28"/>
  <c r="D53" i="28"/>
  <c r="B53" i="28"/>
  <c r="E53" i="28" s="1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6" i="28"/>
  <c r="C53" i="27"/>
  <c r="D53" i="27"/>
  <c r="F52" i="27" s="1"/>
  <c r="B53" i="27"/>
  <c r="E53" i="26"/>
  <c r="C53" i="26"/>
  <c r="D53" i="26"/>
  <c r="F11" i="26"/>
  <c r="B53" i="26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F12" i="26"/>
  <c r="F30" i="26"/>
  <c r="F38" i="26"/>
  <c r="F41" i="26"/>
  <c r="F52" i="26"/>
  <c r="E53" i="23"/>
  <c r="C54" i="20"/>
  <c r="E56" i="13"/>
  <c r="E53" i="22"/>
  <c r="E53" i="21"/>
  <c r="E54" i="20"/>
  <c r="E54" i="19"/>
  <c r="E54" i="18"/>
  <c r="E55" i="14"/>
  <c r="E52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7" i="26"/>
  <c r="E8" i="26"/>
  <c r="E9" i="26"/>
  <c r="E10" i="26"/>
  <c r="E6" i="26"/>
  <c r="D53" i="22"/>
  <c r="C53" i="22"/>
  <c r="B53" i="22"/>
  <c r="K57" i="30"/>
  <c r="L57" i="30"/>
  <c r="M57" i="30"/>
  <c r="N57" i="30"/>
  <c r="O57" i="30"/>
  <c r="P57" i="30"/>
  <c r="Q57" i="30"/>
  <c r="R57" i="30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B57" i="15"/>
  <c r="J57" i="30"/>
  <c r="I57" i="30"/>
  <c r="H57" i="30"/>
  <c r="G57" i="30"/>
  <c r="F57" i="30"/>
  <c r="E57" i="30"/>
  <c r="D57" i="30"/>
  <c r="C57" i="30"/>
  <c r="B57" i="30"/>
  <c r="B54" i="20"/>
  <c r="D53" i="20"/>
  <c r="D52" i="20"/>
  <c r="E52" i="20"/>
  <c r="D51" i="20"/>
  <c r="E51" i="20"/>
  <c r="D50" i="20"/>
  <c r="E50" i="20"/>
  <c r="D49" i="20"/>
  <c r="D48" i="20"/>
  <c r="E48" i="20"/>
  <c r="D47" i="20"/>
  <c r="E47" i="20"/>
  <c r="D46" i="20"/>
  <c r="E46" i="20"/>
  <c r="D45" i="20"/>
  <c r="D44" i="20"/>
  <c r="E44" i="20"/>
  <c r="D43" i="20"/>
  <c r="E43" i="20"/>
  <c r="D42" i="20"/>
  <c r="E42" i="20"/>
  <c r="D41" i="20"/>
  <c r="D40" i="20"/>
  <c r="E40" i="20"/>
  <c r="D39" i="20"/>
  <c r="E39" i="20"/>
  <c r="D38" i="20"/>
  <c r="E38" i="20"/>
  <c r="D37" i="20"/>
  <c r="D36" i="20"/>
  <c r="E36" i="20"/>
  <c r="D35" i="20"/>
  <c r="E35" i="20"/>
  <c r="D34" i="20"/>
  <c r="E34" i="20"/>
  <c r="D33" i="20"/>
  <c r="D32" i="20"/>
  <c r="E32" i="20"/>
  <c r="D31" i="20"/>
  <c r="E31" i="20"/>
  <c r="D30" i="20"/>
  <c r="E30" i="20"/>
  <c r="D29" i="20"/>
  <c r="D28" i="20"/>
  <c r="E28" i="20"/>
  <c r="D27" i="20"/>
  <c r="E27" i="20"/>
  <c r="D26" i="20"/>
  <c r="E26" i="20"/>
  <c r="D25" i="20"/>
  <c r="D24" i="20"/>
  <c r="E24" i="20"/>
  <c r="D23" i="20"/>
  <c r="E23" i="20"/>
  <c r="D22" i="20"/>
  <c r="D21" i="20"/>
  <c r="D20" i="20"/>
  <c r="E20" i="20"/>
  <c r="D19" i="20"/>
  <c r="E19" i="20"/>
  <c r="D18" i="20"/>
  <c r="D17" i="20"/>
  <c r="D16" i="20"/>
  <c r="D15" i="20"/>
  <c r="E15" i="20"/>
  <c r="D14" i="20"/>
  <c r="E14" i="20"/>
  <c r="D13" i="20"/>
  <c r="D12" i="20"/>
  <c r="E12" i="20"/>
  <c r="D11" i="20"/>
  <c r="E11" i="20"/>
  <c r="D10" i="20"/>
  <c r="D9" i="20"/>
  <c r="D8" i="20"/>
  <c r="E8" i="20"/>
  <c r="D7" i="20"/>
  <c r="E7" i="20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8" i="7"/>
  <c r="D7" i="19"/>
  <c r="D8" i="19"/>
  <c r="D9" i="19"/>
  <c r="D10" i="19"/>
  <c r="D11" i="19"/>
  <c r="D12" i="19"/>
  <c r="D13" i="19"/>
  <c r="D14" i="19"/>
  <c r="D15" i="19"/>
  <c r="E15" i="19"/>
  <c r="D16" i="19"/>
  <c r="D17" i="19"/>
  <c r="D18" i="19"/>
  <c r="E18" i="19"/>
  <c r="D19" i="19"/>
  <c r="D20" i="19"/>
  <c r="D21" i="19"/>
  <c r="E21" i="19"/>
  <c r="D22" i="19"/>
  <c r="D23" i="19"/>
  <c r="D24" i="19"/>
  <c r="D25" i="19"/>
  <c r="E25" i="19"/>
  <c r="D26" i="19"/>
  <c r="E26" i="19"/>
  <c r="D27" i="19"/>
  <c r="D28" i="19"/>
  <c r="D29" i="19"/>
  <c r="D30" i="19"/>
  <c r="D31" i="19"/>
  <c r="D32" i="19"/>
  <c r="D33" i="19"/>
  <c r="E33" i="19"/>
  <c r="D34" i="19"/>
  <c r="D35" i="19"/>
  <c r="D36" i="19"/>
  <c r="D37" i="19"/>
  <c r="D38" i="19"/>
  <c r="D39" i="19"/>
  <c r="E39" i="19"/>
  <c r="D40" i="19"/>
  <c r="D41" i="19"/>
  <c r="D42" i="19"/>
  <c r="E42" i="19"/>
  <c r="D43" i="19"/>
  <c r="D44" i="19"/>
  <c r="D45" i="19"/>
  <c r="E45" i="19"/>
  <c r="D46" i="19"/>
  <c r="D47" i="19"/>
  <c r="D48" i="19"/>
  <c r="D49" i="19"/>
  <c r="E49" i="19"/>
  <c r="D50" i="19"/>
  <c r="E50" i="19"/>
  <c r="D51" i="19"/>
  <c r="D52" i="19"/>
  <c r="D53" i="19"/>
  <c r="C54" i="19"/>
  <c r="B54" i="19"/>
  <c r="E53" i="19"/>
  <c r="E51" i="19"/>
  <c r="E47" i="19"/>
  <c r="E46" i="19"/>
  <c r="E43" i="19"/>
  <c r="E41" i="19"/>
  <c r="E38" i="19"/>
  <c r="E37" i="19"/>
  <c r="E35" i="19"/>
  <c r="E34" i="19"/>
  <c r="E31" i="19"/>
  <c r="E30" i="19"/>
  <c r="E29" i="19"/>
  <c r="E27" i="19"/>
  <c r="E23" i="19"/>
  <c r="E22" i="19"/>
  <c r="E19" i="19"/>
  <c r="E17" i="19"/>
  <c r="E14" i="19"/>
  <c r="E13" i="19"/>
  <c r="E11" i="19"/>
  <c r="E10" i="19"/>
  <c r="E7" i="19"/>
  <c r="D7" i="18"/>
  <c r="D8" i="18"/>
  <c r="D9" i="18"/>
  <c r="D10" i="18"/>
  <c r="D11" i="18"/>
  <c r="E11" i="18"/>
  <c r="D12" i="18"/>
  <c r="D13" i="18"/>
  <c r="D14" i="18"/>
  <c r="D15" i="18"/>
  <c r="D16" i="18"/>
  <c r="D17" i="18"/>
  <c r="E17" i="18"/>
  <c r="D18" i="18"/>
  <c r="D19" i="18"/>
  <c r="E19" i="18"/>
  <c r="D20" i="18"/>
  <c r="D21" i="18"/>
  <c r="D22" i="18"/>
  <c r="D23" i="18"/>
  <c r="D24" i="18"/>
  <c r="D25" i="18"/>
  <c r="E25" i="18"/>
  <c r="D26" i="18"/>
  <c r="D27" i="18"/>
  <c r="D28" i="18"/>
  <c r="D29" i="18"/>
  <c r="D30" i="18"/>
  <c r="E30" i="18"/>
  <c r="D31" i="18"/>
  <c r="E31" i="18"/>
  <c r="D32" i="18"/>
  <c r="D33" i="18"/>
  <c r="D34" i="18"/>
  <c r="D35" i="18"/>
  <c r="E35" i="18"/>
  <c r="D36" i="18"/>
  <c r="D37" i="18"/>
  <c r="D38" i="18"/>
  <c r="E38" i="18"/>
  <c r="D39" i="18"/>
  <c r="D40" i="18"/>
  <c r="D41" i="18"/>
  <c r="E41" i="18"/>
  <c r="D42" i="18"/>
  <c r="D43" i="18"/>
  <c r="D44" i="18"/>
  <c r="D45" i="18"/>
  <c r="D46" i="18"/>
  <c r="D47" i="18"/>
  <c r="D48" i="18"/>
  <c r="E48" i="18"/>
  <c r="D49" i="18"/>
  <c r="D50" i="18"/>
  <c r="D51" i="18"/>
  <c r="E51" i="18"/>
  <c r="D52" i="18"/>
  <c r="D53" i="18"/>
  <c r="C54" i="18"/>
  <c r="B54" i="18"/>
  <c r="E53" i="18"/>
  <c r="E52" i="18"/>
  <c r="E49" i="18"/>
  <c r="E47" i="18"/>
  <c r="E45" i="18"/>
  <c r="E44" i="18"/>
  <c r="E43" i="18"/>
  <c r="E40" i="18"/>
  <c r="E39" i="18"/>
  <c r="E36" i="18"/>
  <c r="E33" i="18"/>
  <c r="E32" i="18"/>
  <c r="E29" i="18"/>
  <c r="E28" i="18"/>
  <c r="E27" i="18"/>
  <c r="E24" i="18"/>
  <c r="E23" i="18"/>
  <c r="E21" i="18"/>
  <c r="E20" i="18"/>
  <c r="E16" i="18"/>
  <c r="E15" i="18"/>
  <c r="E13" i="18"/>
  <c r="E12" i="18"/>
  <c r="E9" i="18"/>
  <c r="E7" i="18"/>
  <c r="D11" i="14"/>
  <c r="E11" i="14"/>
  <c r="D40" i="14"/>
  <c r="D14" i="14"/>
  <c r="D37" i="14"/>
  <c r="D41" i="14"/>
  <c r="E41" i="14"/>
  <c r="D9" i="14"/>
  <c r="D16" i="14"/>
  <c r="D18" i="14"/>
  <c r="D32" i="14"/>
  <c r="D53" i="14"/>
  <c r="E53" i="14"/>
  <c r="D7" i="14"/>
  <c r="D8" i="14"/>
  <c r="D10" i="14"/>
  <c r="D12" i="14"/>
  <c r="E12" i="14"/>
  <c r="D13" i="14"/>
  <c r="D15" i="14"/>
  <c r="E15" i="14"/>
  <c r="D17" i="14"/>
  <c r="E17" i="14"/>
  <c r="D19" i="14"/>
  <c r="D20" i="14"/>
  <c r="D21" i="14"/>
  <c r="D22" i="14"/>
  <c r="D23" i="14"/>
  <c r="D24" i="14"/>
  <c r="D25" i="14"/>
  <c r="D26" i="14"/>
  <c r="D27" i="14"/>
  <c r="D28" i="14"/>
  <c r="E28" i="14"/>
  <c r="D29" i="14"/>
  <c r="E29" i="14"/>
  <c r="D30" i="14"/>
  <c r="D31" i="14"/>
  <c r="D33" i="14"/>
  <c r="D34" i="14"/>
  <c r="E34" i="14"/>
  <c r="D35" i="14"/>
  <c r="E35" i="14"/>
  <c r="D36" i="14"/>
  <c r="D38" i="14"/>
  <c r="D39" i="14"/>
  <c r="D42" i="14"/>
  <c r="E42" i="14"/>
  <c r="D43" i="14"/>
  <c r="D44" i="14"/>
  <c r="D45" i="14"/>
  <c r="D46" i="14"/>
  <c r="D47" i="14"/>
  <c r="D48" i="14"/>
  <c r="E48" i="14"/>
  <c r="D49" i="14"/>
  <c r="E49" i="14"/>
  <c r="D50" i="14"/>
  <c r="E50" i="14"/>
  <c r="D51" i="14"/>
  <c r="D52" i="14"/>
  <c r="D54" i="14"/>
  <c r="C55" i="14"/>
  <c r="B55" i="14"/>
  <c r="E52" i="14"/>
  <c r="E46" i="14"/>
  <c r="E45" i="14"/>
  <c r="E38" i="14"/>
  <c r="E37" i="14"/>
  <c r="E33" i="14"/>
  <c r="E32" i="14"/>
  <c r="E30" i="14"/>
  <c r="E26" i="14"/>
  <c r="E20" i="14"/>
  <c r="E13" i="14"/>
  <c r="E10" i="14"/>
  <c r="E7" i="14"/>
  <c r="B56" i="13"/>
  <c r="C56" i="13"/>
  <c r="D13" i="13"/>
  <c r="D7" i="13"/>
  <c r="E7" i="13"/>
  <c r="D8" i="13"/>
  <c r="D9" i="13"/>
  <c r="D10" i="13"/>
  <c r="D11" i="13"/>
  <c r="E11" i="13"/>
  <c r="D12" i="13"/>
  <c r="E12" i="13"/>
  <c r="D14" i="13"/>
  <c r="D15" i="13"/>
  <c r="E15" i="13"/>
  <c r="D16" i="13"/>
  <c r="E16" i="13"/>
  <c r="D17" i="13"/>
  <c r="D18" i="13"/>
  <c r="E18" i="13"/>
  <c r="D19" i="13"/>
  <c r="E19" i="13"/>
  <c r="D20" i="13"/>
  <c r="E20" i="13"/>
  <c r="D21" i="13"/>
  <c r="D22" i="13"/>
  <c r="E22" i="13"/>
  <c r="D25" i="13"/>
  <c r="D26" i="13"/>
  <c r="E26" i="13"/>
  <c r="D27" i="13"/>
  <c r="E27" i="13"/>
  <c r="D28" i="13"/>
  <c r="E28" i="13"/>
  <c r="D29" i="13"/>
  <c r="D30" i="13"/>
  <c r="E30" i="13"/>
  <c r="D31" i="13"/>
  <c r="E31" i="13"/>
  <c r="D32" i="13"/>
  <c r="E32" i="13"/>
  <c r="D33" i="13"/>
  <c r="D34" i="13"/>
  <c r="E34" i="13"/>
  <c r="D35" i="13"/>
  <c r="D36" i="13"/>
  <c r="E36" i="13"/>
  <c r="D37" i="13"/>
  <c r="E37" i="13"/>
  <c r="D38" i="13"/>
  <c r="E38" i="13"/>
  <c r="D39" i="13"/>
  <c r="E39" i="13"/>
  <c r="D40" i="13"/>
  <c r="E40" i="13"/>
  <c r="D41" i="13"/>
  <c r="D42" i="13"/>
  <c r="E42" i="13"/>
  <c r="D43" i="13"/>
  <c r="D44" i="13"/>
  <c r="D45" i="13"/>
  <c r="D46" i="13"/>
  <c r="D47" i="13"/>
  <c r="E47" i="13"/>
  <c r="D48" i="13"/>
  <c r="E48" i="13"/>
  <c r="D49" i="13"/>
  <c r="E49" i="13"/>
  <c r="D50" i="13"/>
  <c r="D51" i="13"/>
  <c r="D52" i="13"/>
  <c r="D53" i="13"/>
  <c r="D54" i="13"/>
  <c r="E54" i="13"/>
  <c r="D55" i="13"/>
  <c r="E55" i="13"/>
  <c r="E8" i="13"/>
  <c r="E13" i="13"/>
  <c r="E17" i="13"/>
  <c r="E21" i="13"/>
  <c r="E25" i="13"/>
  <c r="E29" i="13"/>
  <c r="E33" i="13"/>
  <c r="E35" i="13"/>
  <c r="E43" i="13"/>
  <c r="E45" i="13"/>
  <c r="E50" i="13"/>
  <c r="E52" i="13"/>
  <c r="E53" i="13"/>
  <c r="C25" i="10"/>
  <c r="C26" i="10"/>
  <c r="C27" i="10"/>
  <c r="C28" i="10"/>
  <c r="C29" i="10"/>
  <c r="C30" i="10"/>
  <c r="C31" i="10"/>
  <c r="D31" i="10"/>
  <c r="C32" i="10"/>
  <c r="C33" i="10"/>
  <c r="C34" i="10"/>
  <c r="C35" i="10"/>
  <c r="C36" i="10"/>
  <c r="C37" i="10"/>
  <c r="D37" i="10"/>
  <c r="E37" i="10"/>
  <c r="C38" i="10"/>
  <c r="C39" i="10"/>
  <c r="C40" i="10"/>
  <c r="C41" i="10"/>
  <c r="C42" i="10"/>
  <c r="C43" i="10"/>
  <c r="C44" i="10"/>
  <c r="C45" i="10"/>
  <c r="C46" i="10"/>
  <c r="C48" i="10"/>
  <c r="D48" i="10"/>
  <c r="E48" i="10"/>
  <c r="C49" i="10"/>
  <c r="C50" i="10"/>
  <c r="E50" i="10"/>
  <c r="C51" i="10"/>
  <c r="C52" i="10"/>
  <c r="D52" i="10"/>
  <c r="C53" i="10"/>
  <c r="C54" i="10"/>
  <c r="C55" i="10"/>
  <c r="C56" i="10"/>
  <c r="D56" i="10"/>
  <c r="B25" i="10"/>
  <c r="D25" i="10"/>
  <c r="B26" i="10"/>
  <c r="B27" i="10"/>
  <c r="D27" i="10"/>
  <c r="B28" i="10"/>
  <c r="B29" i="10"/>
  <c r="D29" i="10"/>
  <c r="B30" i="10"/>
  <c r="D30" i="10"/>
  <c r="B31" i="10"/>
  <c r="B32" i="10"/>
  <c r="B33" i="10"/>
  <c r="D33" i="10"/>
  <c r="B34" i="10"/>
  <c r="B35" i="10"/>
  <c r="E35" i="10"/>
  <c r="D35" i="10"/>
  <c r="B36" i="10"/>
  <c r="B38" i="10"/>
  <c r="B39" i="10"/>
  <c r="D39" i="10"/>
  <c r="B40" i="10"/>
  <c r="D40" i="10"/>
  <c r="E40" i="10"/>
  <c r="B41" i="10"/>
  <c r="B42" i="10"/>
  <c r="B43" i="10"/>
  <c r="B44" i="10"/>
  <c r="D44" i="10"/>
  <c r="B45" i="10"/>
  <c r="B46" i="10"/>
  <c r="B48" i="10"/>
  <c r="B49" i="10"/>
  <c r="D49" i="10"/>
  <c r="B50" i="10"/>
  <c r="D50" i="10"/>
  <c r="B51" i="10"/>
  <c r="B52" i="10"/>
  <c r="B53" i="10"/>
  <c r="D53" i="10"/>
  <c r="B54" i="10"/>
  <c r="B55" i="10"/>
  <c r="B56" i="10"/>
  <c r="B8" i="10"/>
  <c r="C8" i="10"/>
  <c r="D8" i="10"/>
  <c r="E8" i="10"/>
  <c r="B9" i="10"/>
  <c r="C9" i="10"/>
  <c r="B10" i="10"/>
  <c r="C10" i="10"/>
  <c r="B11" i="10"/>
  <c r="C11" i="10"/>
  <c r="D11" i="10"/>
  <c r="E11" i="10"/>
  <c r="B12" i="10"/>
  <c r="C12" i="10"/>
  <c r="B13" i="10"/>
  <c r="D13" i="10"/>
  <c r="C13" i="10"/>
  <c r="E13" i="10"/>
  <c r="B14" i="10"/>
  <c r="C14" i="10"/>
  <c r="D14" i="10"/>
  <c r="C15" i="10"/>
  <c r="D15" i="10"/>
  <c r="E15" i="10"/>
  <c r="B16" i="10"/>
  <c r="C16" i="10"/>
  <c r="D16" i="10"/>
  <c r="E16" i="10"/>
  <c r="B17" i="10"/>
  <c r="C17" i="10"/>
  <c r="D17" i="10"/>
  <c r="B18" i="10"/>
  <c r="C18" i="10"/>
  <c r="B19" i="10"/>
  <c r="C19" i="10"/>
  <c r="B20" i="10"/>
  <c r="B21" i="10"/>
  <c r="D21" i="10"/>
  <c r="C21" i="10"/>
  <c r="B22" i="10"/>
  <c r="C22" i="10"/>
  <c r="D22" i="10"/>
  <c r="E27" i="10"/>
  <c r="D28" i="10"/>
  <c r="D32" i="10"/>
  <c r="E32" i="10"/>
  <c r="D36" i="10"/>
  <c r="E36" i="10"/>
  <c r="D43" i="10"/>
  <c r="D47" i="10"/>
  <c r="E49" i="10"/>
  <c r="E52" i="10"/>
  <c r="B7" i="10"/>
  <c r="D7" i="10"/>
  <c r="C7" i="10"/>
  <c r="B6" i="8"/>
  <c r="C6" i="8"/>
  <c r="B7" i="8"/>
  <c r="C7" i="8"/>
  <c r="B8" i="8"/>
  <c r="D8" i="8"/>
  <c r="C8" i="8"/>
  <c r="B9" i="8"/>
  <c r="C9" i="8"/>
  <c r="D9" i="8"/>
  <c r="E9" i="8"/>
  <c r="B10" i="8"/>
  <c r="C10" i="8"/>
  <c r="B11" i="8"/>
  <c r="C11" i="8"/>
  <c r="D11" i="8"/>
  <c r="E11" i="8"/>
  <c r="B12" i="8"/>
  <c r="C12" i="8"/>
  <c r="B13" i="8"/>
  <c r="C13" i="8"/>
  <c r="D13" i="8"/>
  <c r="D14" i="8"/>
  <c r="B15" i="8"/>
  <c r="C15" i="8"/>
  <c r="B16" i="8"/>
  <c r="C16" i="8"/>
  <c r="D16" i="8"/>
  <c r="E16" i="8"/>
  <c r="B17" i="8"/>
  <c r="C17" i="8"/>
  <c r="B18" i="8"/>
  <c r="C18" i="8"/>
  <c r="B19" i="8"/>
  <c r="D19" i="8"/>
  <c r="C19" i="8"/>
  <c r="B20" i="8"/>
  <c r="C20" i="8"/>
  <c r="D20" i="8"/>
  <c r="E20" i="8"/>
  <c r="B21" i="8"/>
  <c r="C21" i="8"/>
  <c r="D21" i="8"/>
  <c r="E21" i="8"/>
  <c r="D22" i="8"/>
  <c r="B23" i="8"/>
  <c r="C23" i="8"/>
  <c r="D23" i="8"/>
  <c r="B24" i="8"/>
  <c r="D24" i="8"/>
  <c r="C24" i="8"/>
  <c r="B25" i="8"/>
  <c r="D25" i="8"/>
  <c r="C25" i="8"/>
  <c r="B26" i="8"/>
  <c r="D26" i="8"/>
  <c r="C26" i="8"/>
  <c r="B27" i="8"/>
  <c r="D27" i="8"/>
  <c r="C27" i="8"/>
  <c r="B28" i="8"/>
  <c r="C28" i="8"/>
  <c r="B29" i="8"/>
  <c r="C29" i="8"/>
  <c r="B30" i="8"/>
  <c r="C30" i="8"/>
  <c r="B31" i="8"/>
  <c r="D31" i="8"/>
  <c r="C31" i="8"/>
  <c r="B32" i="8"/>
  <c r="D32" i="8"/>
  <c r="C32" i="8"/>
  <c r="B33" i="8"/>
  <c r="D33" i="8"/>
  <c r="C33" i="8"/>
  <c r="B34" i="8"/>
  <c r="C34" i="8"/>
  <c r="D34" i="8"/>
  <c r="B35" i="8"/>
  <c r="C35" i="8"/>
  <c r="B36" i="8"/>
  <c r="C36" i="8"/>
  <c r="B37" i="8"/>
  <c r="C37" i="8"/>
  <c r="B38" i="8"/>
  <c r="C38" i="8"/>
  <c r="D38" i="8"/>
  <c r="E38" i="8"/>
  <c r="B39" i="8"/>
  <c r="C39" i="8"/>
  <c r="B40" i="8"/>
  <c r="C40" i="8"/>
  <c r="D40" i="8"/>
  <c r="E40" i="8"/>
  <c r="B41" i="8"/>
  <c r="C41" i="8"/>
  <c r="D42" i="8"/>
  <c r="B43" i="8"/>
  <c r="D43" i="8"/>
  <c r="C43" i="8"/>
  <c r="B44" i="8"/>
  <c r="C44" i="8"/>
  <c r="B45" i="8"/>
  <c r="C45" i="8"/>
  <c r="B46" i="8"/>
  <c r="C46" i="8"/>
  <c r="B47" i="8"/>
  <c r="C47" i="8"/>
  <c r="D47" i="8"/>
  <c r="B48" i="8"/>
  <c r="C48" i="8"/>
  <c r="B49" i="8"/>
  <c r="C49" i="8"/>
  <c r="D49" i="8"/>
  <c r="E49" i="8"/>
  <c r="B50" i="8"/>
  <c r="C50" i="8"/>
  <c r="B51" i="8"/>
  <c r="C51" i="8"/>
  <c r="D51" i="8"/>
  <c r="B52" i="8"/>
  <c r="C52" i="8"/>
  <c r="B53" i="8"/>
  <c r="C53" i="8"/>
  <c r="B54" i="8"/>
  <c r="C54" i="8"/>
  <c r="B55" i="8"/>
  <c r="D55" i="8"/>
  <c r="C55" i="8"/>
  <c r="E42" i="8"/>
  <c r="E47" i="8"/>
  <c r="E51" i="8"/>
  <c r="E13" i="8"/>
  <c r="D58" i="7"/>
  <c r="C58" i="7"/>
  <c r="D56" i="1"/>
  <c r="C56" i="1"/>
  <c r="E9" i="1"/>
  <c r="F9" i="1"/>
  <c r="E10" i="1"/>
  <c r="F10" i="1"/>
  <c r="E11" i="1"/>
  <c r="E12" i="1"/>
  <c r="F12" i="1"/>
  <c r="E13" i="1"/>
  <c r="F13" i="1"/>
  <c r="E14" i="1"/>
  <c r="F14" i="1"/>
  <c r="E15" i="1"/>
  <c r="E16" i="1"/>
  <c r="F16" i="1"/>
  <c r="E17" i="1"/>
  <c r="F17" i="1"/>
  <c r="E18" i="1"/>
  <c r="E19" i="1"/>
  <c r="F19" i="1"/>
  <c r="E20" i="1"/>
  <c r="F20" i="1"/>
  <c r="E21" i="1"/>
  <c r="E22" i="1"/>
  <c r="F22" i="1"/>
  <c r="E23" i="1"/>
  <c r="F23" i="1"/>
  <c r="E24" i="1"/>
  <c r="F24" i="1"/>
  <c r="E25" i="1"/>
  <c r="F25" i="1"/>
  <c r="E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41" i="1"/>
  <c r="E42" i="1"/>
  <c r="E43" i="1"/>
  <c r="F43" i="1"/>
  <c r="E44" i="1"/>
  <c r="F44" i="1"/>
  <c r="E45" i="1"/>
  <c r="E46" i="1"/>
  <c r="F46" i="1"/>
  <c r="E47" i="1"/>
  <c r="F47" i="1"/>
  <c r="E48" i="1"/>
  <c r="F48" i="1"/>
  <c r="E49" i="1"/>
  <c r="F49" i="1"/>
  <c r="E51" i="1"/>
  <c r="F51" i="1"/>
  <c r="E52" i="1"/>
  <c r="F52" i="1"/>
  <c r="E53" i="1"/>
  <c r="E54" i="1"/>
  <c r="E55" i="1"/>
  <c r="F55" i="1"/>
  <c r="E8" i="1"/>
  <c r="F8" i="1"/>
  <c r="E50" i="1"/>
  <c r="D53" i="8"/>
  <c r="E43" i="10"/>
  <c r="F42" i="1"/>
  <c r="E31" i="8"/>
  <c r="D29" i="8"/>
  <c r="D18" i="10"/>
  <c r="D55" i="10"/>
  <c r="D42" i="10"/>
  <c r="E42" i="10"/>
  <c r="D38" i="10"/>
  <c r="E38" i="10"/>
  <c r="E25" i="10"/>
  <c r="E50" i="18"/>
  <c r="E46" i="18"/>
  <c r="E42" i="18"/>
  <c r="E34" i="18"/>
  <c r="E26" i="18"/>
  <c r="E22" i="18"/>
  <c r="E18" i="18"/>
  <c r="E14" i="18"/>
  <c r="E10" i="18"/>
  <c r="E51" i="14"/>
  <c r="E47" i="14"/>
  <c r="E36" i="14"/>
  <c r="E31" i="14"/>
  <c r="E27" i="14"/>
  <c r="E23" i="14"/>
  <c r="E19" i="14"/>
  <c r="E9" i="14"/>
  <c r="E52" i="19"/>
  <c r="E48" i="19"/>
  <c r="E44" i="19"/>
  <c r="E40" i="19"/>
  <c r="E36" i="19"/>
  <c r="E32" i="19"/>
  <c r="E43" i="8"/>
  <c r="D19" i="10"/>
  <c r="E40" i="14"/>
  <c r="E28" i="19"/>
  <c r="E24" i="19"/>
  <c r="E20" i="19"/>
  <c r="E16" i="19"/>
  <c r="E12" i="19"/>
  <c r="E8" i="19"/>
  <c r="D54" i="8"/>
  <c r="D46" i="8"/>
  <c r="E33" i="8"/>
  <c r="D28" i="8"/>
  <c r="E25" i="8"/>
  <c r="D18" i="8"/>
  <c r="D20" i="10"/>
  <c r="E20" i="10"/>
  <c r="E31" i="10"/>
  <c r="E10" i="13"/>
  <c r="E17" i="10"/>
  <c r="E39" i="10"/>
  <c r="E51" i="13"/>
  <c r="E54" i="14"/>
  <c r="E39" i="14"/>
  <c r="E25" i="14"/>
  <c r="E21" i="14"/>
  <c r="E18" i="14"/>
  <c r="E58" i="7"/>
  <c r="E8" i="8"/>
  <c r="D34" i="10"/>
  <c r="D26" i="10"/>
  <c r="E22" i="14"/>
  <c r="E34" i="10"/>
  <c r="E22" i="10"/>
  <c r="E30" i="10"/>
  <c r="E18" i="8"/>
  <c r="E55" i="10"/>
  <c r="E7" i="10"/>
  <c r="E28" i="8"/>
  <c r="E46" i="8"/>
  <c r="E33" i="10"/>
  <c r="E18" i="10"/>
  <c r="E21" i="10"/>
  <c r="E29" i="8"/>
  <c r="E10" i="20"/>
  <c r="E18" i="20"/>
  <c r="E9" i="20"/>
  <c r="E13" i="20"/>
  <c r="E17" i="20"/>
  <c r="E21" i="20"/>
  <c r="E25" i="20"/>
  <c r="E29" i="20"/>
  <c r="E33" i="20"/>
  <c r="E37" i="20"/>
  <c r="E45" i="20"/>
  <c r="E49" i="20"/>
  <c r="E53" i="20"/>
  <c r="F23" i="26"/>
  <c r="F48" i="26"/>
  <c r="F47" i="26"/>
  <c r="F32" i="26"/>
  <c r="F46" i="26"/>
  <c r="F31" i="26"/>
  <c r="F13" i="26"/>
  <c r="F8" i="26"/>
  <c r="F40" i="26"/>
  <c r="F24" i="26"/>
  <c r="F10" i="26"/>
  <c r="F20" i="26"/>
  <c r="F37" i="26"/>
  <c r="F14" i="26"/>
  <c r="F44" i="26"/>
  <c r="F29" i="26"/>
  <c r="F19" i="26"/>
  <c r="F50" i="26"/>
  <c r="F43" i="26"/>
  <c r="F36" i="26"/>
  <c r="F26" i="26"/>
  <c r="F18" i="26"/>
  <c r="F6" i="26"/>
  <c r="F49" i="26"/>
  <c r="F42" i="26"/>
  <c r="F35" i="26"/>
  <c r="F25" i="26"/>
  <c r="F17" i="26"/>
  <c r="F7" i="26"/>
  <c r="F51" i="26"/>
  <c r="F45" i="26"/>
  <c r="F39" i="26"/>
  <c r="F33" i="26"/>
  <c r="F27" i="26"/>
  <c r="F21" i="26"/>
  <c r="F15" i="26"/>
  <c r="F9" i="26"/>
  <c r="F34" i="26"/>
  <c r="F28" i="26"/>
  <c r="F22" i="26"/>
  <c r="F16" i="26"/>
  <c r="E34" i="8"/>
  <c r="G45" i="1"/>
  <c r="F45" i="1"/>
  <c r="D46" i="10"/>
  <c r="G33" i="1"/>
  <c r="F54" i="1"/>
  <c r="F21" i="1"/>
  <c r="D35" i="8"/>
  <c r="E35" i="8"/>
  <c r="D30" i="8"/>
  <c r="E30" i="8"/>
  <c r="E19" i="10"/>
  <c r="D12" i="10"/>
  <c r="E12" i="10"/>
  <c r="D10" i="10"/>
  <c r="D51" i="10"/>
  <c r="D45" i="10"/>
  <c r="E45" i="10"/>
  <c r="E29" i="10"/>
  <c r="E56" i="10"/>
  <c r="E41" i="20"/>
  <c r="E26" i="10"/>
  <c r="E27" i="8"/>
  <c r="E53" i="8"/>
  <c r="F53" i="1"/>
  <c r="G32" i="1"/>
  <c r="G17" i="1"/>
  <c r="E26" i="8"/>
  <c r="E54" i="8"/>
  <c r="E23" i="8"/>
  <c r="E19" i="8"/>
  <c r="D41" i="10"/>
  <c r="E41" i="10"/>
  <c r="E24" i="8"/>
  <c r="E37" i="8"/>
  <c r="D37" i="8"/>
  <c r="E32" i="8"/>
  <c r="D54" i="20"/>
  <c r="F41" i="20"/>
  <c r="B57" i="10"/>
  <c r="C56" i="8"/>
  <c r="D10" i="8"/>
  <c r="E10" i="8"/>
  <c r="D7" i="8"/>
  <c r="B56" i="8"/>
  <c r="F11" i="1"/>
  <c r="E50" i="8"/>
  <c r="D12" i="8"/>
  <c r="E47" i="10"/>
  <c r="F18" i="1"/>
  <c r="G18" i="1"/>
  <c r="E14" i="8"/>
  <c r="E24" i="14"/>
  <c r="F24" i="14"/>
  <c r="E8" i="14"/>
  <c r="D55" i="14"/>
  <c r="F8" i="14"/>
  <c r="E16" i="14"/>
  <c r="F16" i="14"/>
  <c r="E56" i="1"/>
  <c r="G53" i="1"/>
  <c r="D50" i="8"/>
  <c r="D48" i="8"/>
  <c r="D45" i="8"/>
  <c r="D39" i="8"/>
  <c r="F44" i="14"/>
  <c r="E44" i="14"/>
  <c r="G8" i="1"/>
  <c r="D52" i="8"/>
  <c r="D41" i="8"/>
  <c r="E16" i="20"/>
  <c r="E55" i="8"/>
  <c r="C57" i="10"/>
  <c r="F26" i="1"/>
  <c r="G15" i="1"/>
  <c r="F15" i="1"/>
  <c r="D44" i="8"/>
  <c r="E44" i="8"/>
  <c r="E17" i="8"/>
  <c r="D17" i="8"/>
  <c r="D15" i="8"/>
  <c r="E15" i="8"/>
  <c r="E14" i="10"/>
  <c r="E53" i="10"/>
  <c r="E46" i="13"/>
  <c r="E41" i="13"/>
  <c r="F41" i="13"/>
  <c r="D36" i="8"/>
  <c r="E28" i="10"/>
  <c r="E8" i="18"/>
  <c r="E9" i="19"/>
  <c r="D54" i="19"/>
  <c r="D6" i="8"/>
  <c r="E6" i="8"/>
  <c r="D9" i="10"/>
  <c r="E9" i="10"/>
  <c r="D54" i="10"/>
  <c r="E44" i="10"/>
  <c r="E9" i="13"/>
  <c r="D56" i="13"/>
  <c r="D54" i="18"/>
  <c r="E37" i="18"/>
  <c r="F37" i="18"/>
  <c r="F38" i="18"/>
  <c r="F17" i="18"/>
  <c r="F41" i="18"/>
  <c r="F15" i="18"/>
  <c r="F39" i="18"/>
  <c r="F46" i="18"/>
  <c r="F52" i="18"/>
  <c r="F28" i="18"/>
  <c r="F13" i="18"/>
  <c r="F11" i="18"/>
  <c r="F35" i="18"/>
  <c r="F50" i="18"/>
  <c r="F32" i="18"/>
  <c r="F25" i="18"/>
  <c r="F7" i="18"/>
  <c r="F47" i="18"/>
  <c r="F34" i="18"/>
  <c r="F36" i="18"/>
  <c r="F29" i="18"/>
  <c r="F19" i="18"/>
  <c r="F51" i="18"/>
  <c r="F24" i="18"/>
  <c r="F9" i="18"/>
  <c r="F23" i="18"/>
  <c r="F42" i="18"/>
  <c r="F18" i="18"/>
  <c r="F44" i="18"/>
  <c r="F21" i="18"/>
  <c r="F27" i="18"/>
  <c r="F33" i="18"/>
  <c r="F31" i="18"/>
  <c r="F20" i="18"/>
  <c r="F40" i="18"/>
  <c r="F45" i="18"/>
  <c r="F16" i="18"/>
  <c r="F49" i="18"/>
  <c r="F10" i="18"/>
  <c r="F12" i="18"/>
  <c r="F53" i="18"/>
  <c r="F43" i="18"/>
  <c r="F22" i="18"/>
  <c r="F48" i="18"/>
  <c r="F8" i="18"/>
  <c r="G48" i="1"/>
  <c r="G21" i="1"/>
  <c r="F27" i="13"/>
  <c r="F33" i="13"/>
  <c r="F54" i="13"/>
  <c r="F26" i="13"/>
  <c r="F34" i="13"/>
  <c r="F45" i="13"/>
  <c r="F14" i="13"/>
  <c r="F8" i="13"/>
  <c r="F24" i="13"/>
  <c r="F12" i="13"/>
  <c r="F52" i="13"/>
  <c r="F29" i="13"/>
  <c r="F35" i="13"/>
  <c r="F19" i="13"/>
  <c r="F22" i="13"/>
  <c r="F55" i="13"/>
  <c r="F40" i="13"/>
  <c r="F51" i="13"/>
  <c r="F53" i="13"/>
  <c r="F17" i="13"/>
  <c r="F7" i="13"/>
  <c r="F44" i="13"/>
  <c r="F31" i="13"/>
  <c r="F16" i="13"/>
  <c r="F47" i="13"/>
  <c r="F21" i="13"/>
  <c r="F38" i="13"/>
  <c r="F9" i="13"/>
  <c r="F23" i="13"/>
  <c r="F15" i="13"/>
  <c r="F50" i="13"/>
  <c r="F39" i="13"/>
  <c r="F20" i="13"/>
  <c r="F25" i="13"/>
  <c r="F42" i="13"/>
  <c r="F48" i="13"/>
  <c r="F18" i="13"/>
  <c r="F43" i="13"/>
  <c r="F10" i="13"/>
  <c r="F28" i="13"/>
  <c r="F49" i="13"/>
  <c r="F36" i="13"/>
  <c r="F30" i="13"/>
  <c r="F32" i="13"/>
  <c r="F11" i="13"/>
  <c r="F37" i="13"/>
  <c r="F13" i="13"/>
  <c r="D57" i="10"/>
  <c r="F9" i="10"/>
  <c r="E52" i="8"/>
  <c r="G35" i="1"/>
  <c r="G11" i="1"/>
  <c r="F41" i="10"/>
  <c r="E51" i="10"/>
  <c r="F32" i="19"/>
  <c r="F24" i="19"/>
  <c r="F28" i="19"/>
  <c r="F12" i="19"/>
  <c r="F19" i="19"/>
  <c r="F43" i="19"/>
  <c r="F21" i="19"/>
  <c r="F45" i="19"/>
  <c r="F38" i="19"/>
  <c r="F34" i="19"/>
  <c r="F23" i="19"/>
  <c r="F47" i="19"/>
  <c r="F25" i="19"/>
  <c r="F49" i="19"/>
  <c r="F46" i="19"/>
  <c r="F26" i="19"/>
  <c r="F44" i="19"/>
  <c r="F15" i="19"/>
  <c r="F9" i="19"/>
  <c r="F41" i="19"/>
  <c r="F42" i="19"/>
  <c r="F8" i="19"/>
  <c r="F31" i="19"/>
  <c r="F17" i="19"/>
  <c r="F14" i="19"/>
  <c r="F50" i="19"/>
  <c r="F37" i="19"/>
  <c r="F36" i="19"/>
  <c r="F48" i="19"/>
  <c r="F39" i="19"/>
  <c r="F53" i="19"/>
  <c r="F52" i="19"/>
  <c r="F51" i="19"/>
  <c r="F22" i="19"/>
  <c r="F29" i="19"/>
  <c r="F40" i="19"/>
  <c r="F33" i="19"/>
  <c r="F20" i="19"/>
  <c r="F7" i="19"/>
  <c r="F13" i="19"/>
  <c r="F30" i="19"/>
  <c r="F16" i="19"/>
  <c r="F11" i="19"/>
  <c r="F10" i="19"/>
  <c r="F27" i="19"/>
  <c r="F18" i="19"/>
  <c r="F35" i="19"/>
  <c r="F45" i="10"/>
  <c r="E54" i="10"/>
  <c r="E36" i="8"/>
  <c r="E48" i="8"/>
  <c r="F39" i="20"/>
  <c r="F22" i="20"/>
  <c r="F31" i="20"/>
  <c r="F37" i="20"/>
  <c r="F26" i="20"/>
  <c r="F21" i="20"/>
  <c r="F19" i="20"/>
  <c r="F17" i="20"/>
  <c r="F48" i="20"/>
  <c r="F25" i="20"/>
  <c r="F13" i="20"/>
  <c r="F7" i="20"/>
  <c r="F42" i="20"/>
  <c r="F50" i="20"/>
  <c r="F14" i="20"/>
  <c r="F12" i="20"/>
  <c r="F8" i="20"/>
  <c r="F36" i="20"/>
  <c r="F45" i="20"/>
  <c r="F30" i="20"/>
  <c r="F10" i="20"/>
  <c r="F33" i="20"/>
  <c r="F38" i="20"/>
  <c r="F35" i="20"/>
  <c r="F18" i="20"/>
  <c r="F53" i="20"/>
  <c r="F29" i="20"/>
  <c r="F9" i="20"/>
  <c r="F24" i="20"/>
  <c r="F23" i="20"/>
  <c r="F47" i="20"/>
  <c r="F51" i="20"/>
  <c r="F44" i="20"/>
  <c r="F20" i="20"/>
  <c r="F32" i="20"/>
  <c r="F15" i="20"/>
  <c r="F49" i="20"/>
  <c r="F40" i="20"/>
  <c r="F28" i="20"/>
  <c r="F11" i="20"/>
  <c r="F27" i="20"/>
  <c r="F52" i="20"/>
  <c r="F46" i="20"/>
  <c r="F43" i="20"/>
  <c r="F34" i="20"/>
  <c r="F14" i="18"/>
  <c r="E39" i="8"/>
  <c r="G44" i="1"/>
  <c r="G37" i="1"/>
  <c r="G49" i="1"/>
  <c r="G20" i="1"/>
  <c r="G34" i="1"/>
  <c r="G22" i="1"/>
  <c r="G9" i="1"/>
  <c r="G40" i="1"/>
  <c r="G16" i="1"/>
  <c r="G12" i="1"/>
  <c r="G43" i="1"/>
  <c r="G42" i="1"/>
  <c r="G27" i="1"/>
  <c r="G30" i="1"/>
  <c r="G46" i="1"/>
  <c r="G31" i="1"/>
  <c r="G47" i="1"/>
  <c r="G41" i="1"/>
  <c r="G10" i="1"/>
  <c r="G52" i="1"/>
  <c r="G38" i="1"/>
  <c r="G19" i="1"/>
  <c r="G51" i="1"/>
  <c r="G39" i="1"/>
  <c r="G25" i="1"/>
  <c r="G28" i="1"/>
  <c r="G55" i="1"/>
  <c r="G24" i="1"/>
  <c r="G13" i="1"/>
  <c r="G14" i="1"/>
  <c r="G50" i="1"/>
  <c r="G29" i="1"/>
  <c r="G23" i="1"/>
  <c r="F23" i="14"/>
  <c r="F21" i="14"/>
  <c r="F49" i="14"/>
  <c r="F25" i="14"/>
  <c r="F34" i="14"/>
  <c r="F19" i="14"/>
  <c r="F37" i="14"/>
  <c r="F42" i="14"/>
  <c r="F7" i="14"/>
  <c r="F51" i="14"/>
  <c r="F36" i="14"/>
  <c r="F27" i="14"/>
  <c r="F20" i="14"/>
  <c r="F48" i="14"/>
  <c r="F28" i="14"/>
  <c r="F22" i="14"/>
  <c r="F29" i="14"/>
  <c r="F47" i="14"/>
  <c r="F33" i="14"/>
  <c r="F50" i="14"/>
  <c r="F52" i="14"/>
  <c r="F45" i="14"/>
  <c r="F13" i="14"/>
  <c r="F38" i="14"/>
  <c r="F39" i="14"/>
  <c r="F9" i="14"/>
  <c r="F14" i="14"/>
  <c r="F54" i="14"/>
  <c r="F41" i="14"/>
  <c r="F40" i="14"/>
  <c r="F43" i="14"/>
  <c r="F30" i="14"/>
  <c r="F15" i="14"/>
  <c r="F12" i="14"/>
  <c r="F18" i="14"/>
  <c r="F17" i="14"/>
  <c r="F32" i="14"/>
  <c r="F31" i="14"/>
  <c r="F10" i="14"/>
  <c r="F35" i="14"/>
  <c r="F26" i="14"/>
  <c r="F53" i="14"/>
  <c r="F46" i="14"/>
  <c r="F11" i="14"/>
  <c r="E7" i="8"/>
  <c r="G54" i="1"/>
  <c r="F46" i="10"/>
  <c r="F30" i="18"/>
  <c r="D56" i="8"/>
  <c r="F12" i="8"/>
  <c r="F26" i="18"/>
  <c r="F46" i="13"/>
  <c r="G26" i="1"/>
  <c r="F16" i="20"/>
  <c r="E41" i="8"/>
  <c r="E45" i="8"/>
  <c r="E12" i="8"/>
  <c r="G36" i="1"/>
  <c r="E10" i="10"/>
  <c r="E46" i="10"/>
  <c r="F39" i="8"/>
  <c r="F41" i="8"/>
  <c r="F50" i="8"/>
  <c r="F15" i="8"/>
  <c r="F52" i="8"/>
  <c r="F36" i="8"/>
  <c r="F17" i="8"/>
  <c r="F10" i="8"/>
  <c r="F50" i="10"/>
  <c r="F55" i="10"/>
  <c r="F24" i="10"/>
  <c r="F27" i="10"/>
  <c r="F31" i="10"/>
  <c r="F33" i="10"/>
  <c r="F52" i="10"/>
  <c r="F34" i="10"/>
  <c r="F49" i="10"/>
  <c r="F32" i="10"/>
  <c r="F39" i="10"/>
  <c r="F18" i="10"/>
  <c r="F11" i="10"/>
  <c r="F30" i="10"/>
  <c r="F36" i="10"/>
  <c r="F44" i="10"/>
  <c r="F13" i="10"/>
  <c r="F7" i="10"/>
  <c r="F15" i="10"/>
  <c r="F38" i="10"/>
  <c r="F37" i="10"/>
  <c r="F40" i="10"/>
  <c r="F21" i="10"/>
  <c r="F23" i="10"/>
  <c r="F29" i="10"/>
  <c r="F42" i="10"/>
  <c r="F48" i="10"/>
  <c r="F53" i="10"/>
  <c r="F14" i="10"/>
  <c r="F19" i="10"/>
  <c r="F16" i="10"/>
  <c r="F20" i="10"/>
  <c r="F8" i="10"/>
  <c r="F35" i="10"/>
  <c r="F56" i="10"/>
  <c r="F26" i="10"/>
  <c r="F47" i="10"/>
  <c r="F43" i="10"/>
  <c r="F25" i="10"/>
  <c r="F17" i="10"/>
  <c r="F28" i="10"/>
  <c r="F22" i="10"/>
  <c r="F44" i="8"/>
  <c r="F35" i="8"/>
  <c r="F48" i="8"/>
  <c r="F7" i="8"/>
  <c r="F37" i="8"/>
  <c r="F51" i="10"/>
  <c r="F10" i="10"/>
  <c r="F12" i="10"/>
  <c r="F33" i="8"/>
  <c r="F9" i="8"/>
  <c r="F42" i="8"/>
  <c r="F20" i="8"/>
  <c r="F11" i="8"/>
  <c r="F26" i="8"/>
  <c r="F29" i="8"/>
  <c r="F51" i="8"/>
  <c r="F38" i="8"/>
  <c r="F13" i="8"/>
  <c r="F31" i="8"/>
  <c r="F28" i="8"/>
  <c r="F16" i="8"/>
  <c r="F49" i="8"/>
  <c r="F22" i="8"/>
  <c r="F40" i="8"/>
  <c r="F21" i="8"/>
  <c r="F53" i="8"/>
  <c r="F46" i="8"/>
  <c r="F34" i="8"/>
  <c r="F19" i="8"/>
  <c r="F14" i="8"/>
  <c r="F25" i="8"/>
  <c r="F23" i="8"/>
  <c r="F47" i="8"/>
  <c r="F18" i="8"/>
  <c r="F27" i="8"/>
  <c r="F55" i="8"/>
  <c r="F24" i="8"/>
  <c r="F43" i="8"/>
  <c r="F8" i="8"/>
  <c r="F32" i="8"/>
  <c r="F54" i="8"/>
  <c r="F45" i="8"/>
  <c r="F30" i="8"/>
  <c r="F6" i="8"/>
  <c r="F54" i="10"/>
  <c r="F35" i="27" l="1"/>
  <c r="F24" i="27"/>
  <c r="F6" i="27"/>
  <c r="F40" i="27"/>
  <c r="F17" i="27"/>
  <c r="F42" i="27"/>
  <c r="F31" i="27"/>
  <c r="F50" i="27"/>
  <c r="F18" i="27"/>
  <c r="F11" i="27"/>
  <c r="F28" i="27"/>
  <c r="F15" i="27"/>
  <c r="F26" i="27"/>
  <c r="F48" i="27"/>
  <c r="F30" i="27"/>
  <c r="F12" i="27"/>
  <c r="F41" i="27"/>
  <c r="F23" i="27"/>
  <c r="F16" i="27"/>
  <c r="F45" i="27"/>
  <c r="F27" i="27"/>
  <c r="F9" i="27"/>
  <c r="F38" i="27"/>
  <c r="F20" i="27"/>
  <c r="F51" i="27"/>
  <c r="F13" i="27"/>
  <c r="F22" i="27"/>
  <c r="F49" i="27"/>
  <c r="F21" i="27"/>
  <c r="F14" i="27"/>
  <c r="F29" i="27"/>
  <c r="F19" i="27"/>
  <c r="F46" i="27"/>
  <c r="F44" i="27"/>
  <c r="F39" i="27"/>
  <c r="F32" i="27"/>
  <c r="F36" i="27"/>
  <c r="F47" i="27"/>
  <c r="F10" i="27"/>
  <c r="F37" i="27"/>
  <c r="F33" i="27"/>
  <c r="F8" i="27"/>
  <c r="F7" i="27"/>
  <c r="F25" i="27"/>
  <c r="F34" i="27"/>
  <c r="F43" i="27"/>
  <c r="E53" i="27"/>
</calcChain>
</file>

<file path=xl/sharedStrings.xml><?xml version="1.0" encoding="utf-8"?>
<sst xmlns="http://schemas.openxmlformats.org/spreadsheetml/2006/main" count="1113" uniqueCount="168">
  <si>
    <t>ACTV. SUBAC.</t>
  </si>
  <si>
    <t>AJEDREZ</t>
  </si>
  <si>
    <t>ATLETISMO</t>
  </si>
  <si>
    <t>AUTOMOVILISMO</t>
  </si>
  <si>
    <t>BADMINTON</t>
  </si>
  <si>
    <t>BALONCESTO</t>
  </si>
  <si>
    <t>BALONMANO</t>
  </si>
  <si>
    <t>BEISBOL Y SOFTBOL</t>
  </si>
  <si>
    <t>BOLOS</t>
  </si>
  <si>
    <t>BOXEO</t>
  </si>
  <si>
    <t>CAZA</t>
  </si>
  <si>
    <t>CICLISMO</t>
  </si>
  <si>
    <t>DEPORTES AÉREOS</t>
  </si>
  <si>
    <t>DEP. INVIERNO</t>
  </si>
  <si>
    <t>DXT DISCAPACITADOS</t>
  </si>
  <si>
    <t>ESGRIMA</t>
  </si>
  <si>
    <t>ESQUI NAUTICO</t>
  </si>
  <si>
    <t>FUTBOL</t>
  </si>
  <si>
    <t>FUTBOL SALA</t>
  </si>
  <si>
    <t>GIMNASIA</t>
  </si>
  <si>
    <t>GOLF</t>
  </si>
  <si>
    <t>HALTEROFILIA</t>
  </si>
  <si>
    <t>HIPICA</t>
  </si>
  <si>
    <t>HOCKEY</t>
  </si>
  <si>
    <t>JUDO Y DD.AA.</t>
  </si>
  <si>
    <t>KARATE</t>
  </si>
  <si>
    <t>LUCHA Y SAMBO</t>
  </si>
  <si>
    <t>MONTAÑA</t>
  </si>
  <si>
    <t>MOTOCICLISMO</t>
  </si>
  <si>
    <t>NATACIÓN</t>
  </si>
  <si>
    <t>PATINAJE</t>
  </si>
  <si>
    <t>PELOTA VASCA</t>
  </si>
  <si>
    <t>PESCA Y CASTING</t>
  </si>
  <si>
    <t>PETANCA</t>
  </si>
  <si>
    <t>PIRAGUISMO</t>
  </si>
  <si>
    <t>REMO</t>
  </si>
  <si>
    <t>RUGBY</t>
  </si>
  <si>
    <t>SQUASH</t>
  </si>
  <si>
    <t>SURF</t>
  </si>
  <si>
    <t>TAEKWONDO</t>
  </si>
  <si>
    <t>TENIS</t>
  </si>
  <si>
    <t>TENIS DE MESA</t>
  </si>
  <si>
    <t>TIRO CON ARCO</t>
  </si>
  <si>
    <t>TIRO OLIMPICO</t>
  </si>
  <si>
    <t>TRIATLON Y DD.CC.</t>
  </si>
  <si>
    <t>VELA</t>
  </si>
  <si>
    <t>VOLEIBOL</t>
  </si>
  <si>
    <t>EUSKAL FEDERAZIOAK</t>
  </si>
  <si>
    <t>HERRI-KIROLAK</t>
  </si>
  <si>
    <t>Media: 21,75%</t>
  </si>
  <si>
    <t>NÚMERO DE LICENCIAS FEDERADAS DE DEPORTISTAS 2005</t>
  </si>
  <si>
    <t>NÚMERO DE LICENCIAS FEDERADAS DE DEPORTISTAS 2006</t>
  </si>
  <si>
    <t>DXT ADAPTADO</t>
  </si>
  <si>
    <t>PADEL</t>
  </si>
  <si>
    <t>BILLAR</t>
  </si>
  <si>
    <t>Media: 21,45%</t>
  </si>
  <si>
    <t>NÚMERO DE LICENCIAS FEDERADAS DE DEPORTISTAS 2007</t>
  </si>
  <si>
    <t>Media: 21,59%</t>
  </si>
  <si>
    <t>Media:23,3%</t>
  </si>
  <si>
    <t>NÚMERO DE LICENCIAS FEDERADAS DE DEPORTISTAS 2008</t>
  </si>
  <si>
    <t>NÚMERO DE LICENCIAS FEDERADAS DE DEPORTISTAS 2009</t>
  </si>
  <si>
    <t>DESGLOSE POR SEXO 2009</t>
  </si>
  <si>
    <t>DESGLOSE POR SEXO 2005</t>
  </si>
  <si>
    <t>DESGLOSE POR SEXO 2006</t>
  </si>
  <si>
    <t>DESGLOSE POR SEXO 2007</t>
  </si>
  <si>
    <t>NÚMERO DE LICENCIAS FEDERADAS DE DEPORTISTAS 2010</t>
  </si>
  <si>
    <t>DESGLOSE POR SEXO 2010</t>
  </si>
  <si>
    <t>NÚMERO DE LICENCIAS FEDERADAS DE DEPORTISTAS 2011</t>
  </si>
  <si>
    <t>DESGLOSE POR SEXO 2011</t>
  </si>
  <si>
    <t>NÚMERO DE LICENCIAS FEDERADAS DE DEPORTISTAS 2012</t>
  </si>
  <si>
    <t>DESGLOSE POR SEXO 2012</t>
  </si>
  <si>
    <t>Federaciones Vascas</t>
  </si>
  <si>
    <t>Mujeres</t>
  </si>
  <si>
    <t>Hombres</t>
  </si>
  <si>
    <t>Total</t>
  </si>
  <si>
    <t>%mujeres</t>
  </si>
  <si>
    <t>% licencias</t>
  </si>
  <si>
    <t>DESGLOSE POR SEXO 2008</t>
  </si>
  <si>
    <t>NÚMERO DE LICENCIAS FEDERADAS DE DEPORTISTAS 2013</t>
  </si>
  <si>
    <t>DESGLOSE POR SEXO 2013</t>
  </si>
  <si>
    <r>
      <rPr>
        <b/>
        <i/>
        <sz val="9"/>
        <rFont val="Arial"/>
        <family val="2"/>
      </rPr>
      <t>Federaciones</t>
    </r>
    <r>
      <rPr>
        <sz val="9"/>
        <rFont val="Times New Roman"/>
        <family val="1"/>
      </rPr>
      <t xml:space="preserve"> </t>
    </r>
    <r>
      <rPr>
        <b/>
        <i/>
        <sz val="9"/>
        <rFont val="Arial"/>
        <family val="2"/>
      </rPr>
      <t>Vascas</t>
    </r>
  </si>
  <si>
    <r>
      <rPr>
        <b/>
        <i/>
        <sz val="9"/>
        <rFont val="Arial"/>
        <family val="2"/>
      </rPr>
      <t>Mujeres</t>
    </r>
  </si>
  <si>
    <r>
      <rPr>
        <b/>
        <i/>
        <sz val="9"/>
        <rFont val="Arial"/>
        <family val="2"/>
      </rPr>
      <t>Hombres</t>
    </r>
  </si>
  <si>
    <r>
      <rPr>
        <b/>
        <i/>
        <sz val="9"/>
        <rFont val="Arial"/>
        <family val="2"/>
      </rPr>
      <t>Total</t>
    </r>
  </si>
  <si>
    <r>
      <rPr>
        <b/>
        <i/>
        <sz val="9"/>
        <rFont val="Arial"/>
        <family val="2"/>
      </rPr>
      <t>%mujeres</t>
    </r>
  </si>
  <si>
    <r>
      <rPr>
        <b/>
        <i/>
        <sz val="9"/>
        <rFont val="Arial"/>
        <family val="2"/>
      </rPr>
      <t>%</t>
    </r>
    <r>
      <rPr>
        <sz val="9"/>
        <rFont val="Times New Roman"/>
        <family val="1"/>
      </rPr>
      <t xml:space="preserve"> </t>
    </r>
    <r>
      <rPr>
        <b/>
        <i/>
        <sz val="9"/>
        <rFont val="Arial"/>
        <family val="2"/>
      </rPr>
      <t>licencias</t>
    </r>
  </si>
  <si>
    <r>
      <rPr>
        <b/>
        <sz val="9"/>
        <color indexed="9"/>
        <rFont val="Arial"/>
        <family val="2"/>
      </rPr>
      <t>ACTV.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SUBAC.</t>
    </r>
  </si>
  <si>
    <r>
      <rPr>
        <b/>
        <sz val="9"/>
        <color indexed="9"/>
        <rFont val="Arial"/>
        <family val="2"/>
      </rPr>
      <t>AJEDREZ</t>
    </r>
  </si>
  <si>
    <r>
      <rPr>
        <b/>
        <sz val="9"/>
        <color indexed="9"/>
        <rFont val="Arial"/>
        <family val="2"/>
      </rPr>
      <t>ATLETISMO</t>
    </r>
  </si>
  <si>
    <r>
      <rPr>
        <b/>
        <sz val="9"/>
        <color indexed="9"/>
        <rFont val="Arial"/>
        <family val="2"/>
      </rPr>
      <t>AUTOMOVILISMO</t>
    </r>
  </si>
  <si>
    <r>
      <rPr>
        <b/>
        <sz val="9"/>
        <color indexed="9"/>
        <rFont val="Arial"/>
        <family val="2"/>
      </rPr>
      <t>BADMINTON</t>
    </r>
  </si>
  <si>
    <r>
      <rPr>
        <b/>
        <sz val="9"/>
        <color indexed="9"/>
        <rFont val="Arial"/>
        <family val="2"/>
      </rPr>
      <t>BALONCESTO</t>
    </r>
  </si>
  <si>
    <r>
      <rPr>
        <b/>
        <sz val="9"/>
        <color indexed="9"/>
        <rFont val="Arial"/>
        <family val="2"/>
      </rPr>
      <t>BALONMANO</t>
    </r>
  </si>
  <si>
    <r>
      <rPr>
        <b/>
        <sz val="9"/>
        <color indexed="9"/>
        <rFont val="Arial"/>
        <family val="2"/>
      </rPr>
      <t>BEISBOL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Y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SOFTBOL</t>
    </r>
  </si>
  <si>
    <r>
      <rPr>
        <b/>
        <sz val="9"/>
        <color indexed="9"/>
        <rFont val="Arial"/>
        <family val="2"/>
      </rPr>
      <t>BOLOS</t>
    </r>
  </si>
  <si>
    <r>
      <rPr>
        <b/>
        <sz val="9"/>
        <color indexed="9"/>
        <rFont val="Arial"/>
        <family val="2"/>
      </rPr>
      <t>BOXEO</t>
    </r>
  </si>
  <si>
    <r>
      <rPr>
        <b/>
        <sz val="9"/>
        <color indexed="9"/>
        <rFont val="Arial"/>
        <family val="2"/>
      </rPr>
      <t>CAZA</t>
    </r>
  </si>
  <si>
    <r>
      <rPr>
        <b/>
        <sz val="9"/>
        <color indexed="9"/>
        <rFont val="Arial"/>
        <family val="2"/>
      </rPr>
      <t>CICLISMO</t>
    </r>
  </si>
  <si>
    <r>
      <rPr>
        <b/>
        <sz val="9"/>
        <color indexed="9"/>
        <rFont val="Arial"/>
        <family val="2"/>
      </rPr>
      <t>DEPORTES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AÉREOS</t>
    </r>
  </si>
  <si>
    <r>
      <rPr>
        <b/>
        <sz val="9"/>
        <color indexed="9"/>
        <rFont val="Arial"/>
        <family val="2"/>
      </rPr>
      <t>DEP.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INVIERNO</t>
    </r>
  </si>
  <si>
    <r>
      <rPr>
        <b/>
        <sz val="9"/>
        <color indexed="9"/>
        <rFont val="Arial"/>
        <family val="2"/>
      </rPr>
      <t>DXT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ADAPTADO</t>
    </r>
  </si>
  <si>
    <r>
      <rPr>
        <b/>
        <sz val="9"/>
        <color indexed="9"/>
        <rFont val="Arial"/>
        <family val="2"/>
      </rPr>
      <t>ESGRIMA</t>
    </r>
  </si>
  <si>
    <r>
      <rPr>
        <b/>
        <sz val="9"/>
        <color indexed="9"/>
        <rFont val="Arial"/>
        <family val="2"/>
      </rPr>
      <t>FUTBOL</t>
    </r>
  </si>
  <si>
    <r>
      <rPr>
        <b/>
        <sz val="9"/>
        <color indexed="9"/>
        <rFont val="Arial"/>
        <family val="2"/>
      </rPr>
      <t>GIMNASIA</t>
    </r>
  </si>
  <si>
    <r>
      <rPr>
        <b/>
        <sz val="9"/>
        <color indexed="9"/>
        <rFont val="Arial"/>
        <family val="2"/>
      </rPr>
      <t>GOLF</t>
    </r>
  </si>
  <si>
    <r>
      <rPr>
        <b/>
        <sz val="9"/>
        <color indexed="9"/>
        <rFont val="Arial"/>
        <family val="2"/>
      </rPr>
      <t>HALTEROFILIA</t>
    </r>
  </si>
  <si>
    <r>
      <rPr>
        <b/>
        <sz val="9"/>
        <color indexed="9"/>
        <rFont val="Arial"/>
        <family val="2"/>
      </rPr>
      <t>HERRI-KIROLAK</t>
    </r>
  </si>
  <si>
    <r>
      <rPr>
        <b/>
        <sz val="9"/>
        <color indexed="9"/>
        <rFont val="Arial"/>
        <family val="2"/>
      </rPr>
      <t>HIPICA</t>
    </r>
  </si>
  <si>
    <r>
      <rPr>
        <b/>
        <sz val="9"/>
        <color indexed="9"/>
        <rFont val="Arial"/>
        <family val="2"/>
      </rPr>
      <t>HOCKEY</t>
    </r>
  </si>
  <si>
    <r>
      <rPr>
        <b/>
        <sz val="9"/>
        <color indexed="9"/>
        <rFont val="Arial"/>
        <family val="2"/>
      </rPr>
      <t>JUDO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Y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DD.AA.</t>
    </r>
  </si>
  <si>
    <r>
      <rPr>
        <b/>
        <sz val="9"/>
        <color indexed="9"/>
        <rFont val="Arial"/>
        <family val="2"/>
      </rPr>
      <t>KARATE</t>
    </r>
  </si>
  <si>
    <r>
      <rPr>
        <b/>
        <sz val="9"/>
        <color indexed="9"/>
        <rFont val="Arial"/>
        <family val="2"/>
      </rPr>
      <t>LUCHA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Y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SAMBO</t>
    </r>
  </si>
  <si>
    <r>
      <rPr>
        <b/>
        <sz val="9"/>
        <color indexed="9"/>
        <rFont val="Arial"/>
        <family val="2"/>
      </rPr>
      <t>MONTAÑA</t>
    </r>
  </si>
  <si>
    <r>
      <rPr>
        <b/>
        <sz val="9"/>
        <color indexed="9"/>
        <rFont val="Arial"/>
        <family val="2"/>
      </rPr>
      <t>MOTOCICLISMO</t>
    </r>
  </si>
  <si>
    <r>
      <rPr>
        <b/>
        <sz val="9"/>
        <color indexed="9"/>
        <rFont val="Arial"/>
        <family val="2"/>
      </rPr>
      <t>NATACIÓN</t>
    </r>
  </si>
  <si>
    <r>
      <rPr>
        <b/>
        <sz val="9"/>
        <color indexed="9"/>
        <rFont val="Arial"/>
        <family val="2"/>
      </rPr>
      <t>PADEL</t>
    </r>
  </si>
  <si>
    <r>
      <rPr>
        <b/>
        <sz val="9"/>
        <color indexed="9"/>
        <rFont val="Arial"/>
        <family val="2"/>
      </rPr>
      <t>PATINAJE</t>
    </r>
  </si>
  <si>
    <r>
      <rPr>
        <b/>
        <sz val="9"/>
        <color indexed="9"/>
        <rFont val="Arial"/>
        <family val="2"/>
      </rPr>
      <t>PELOTA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VASCA</t>
    </r>
  </si>
  <si>
    <r>
      <rPr>
        <b/>
        <sz val="9"/>
        <color indexed="9"/>
        <rFont val="Arial"/>
        <family val="2"/>
      </rPr>
      <t>PESCA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Y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CASTING</t>
    </r>
  </si>
  <si>
    <r>
      <rPr>
        <b/>
        <sz val="9"/>
        <color indexed="9"/>
        <rFont val="Arial"/>
        <family val="2"/>
      </rPr>
      <t>PETANCA</t>
    </r>
  </si>
  <si>
    <r>
      <rPr>
        <b/>
        <sz val="9"/>
        <color indexed="9"/>
        <rFont val="Arial"/>
        <family val="2"/>
      </rPr>
      <t>PIRAGUISMO</t>
    </r>
  </si>
  <si>
    <r>
      <rPr>
        <b/>
        <sz val="9"/>
        <color indexed="9"/>
        <rFont val="Arial"/>
        <family val="2"/>
      </rPr>
      <t>REMO</t>
    </r>
  </si>
  <si>
    <r>
      <rPr>
        <b/>
        <sz val="9"/>
        <color indexed="9"/>
        <rFont val="Arial"/>
        <family val="2"/>
      </rPr>
      <t>RUGBY</t>
    </r>
  </si>
  <si>
    <r>
      <rPr>
        <b/>
        <sz val="9"/>
        <color indexed="9"/>
        <rFont val="Arial"/>
        <family val="2"/>
      </rPr>
      <t>SQUASH</t>
    </r>
  </si>
  <si>
    <r>
      <rPr>
        <b/>
        <sz val="9"/>
        <color indexed="9"/>
        <rFont val="Arial"/>
        <family val="2"/>
      </rPr>
      <t>SURF</t>
    </r>
  </si>
  <si>
    <r>
      <rPr>
        <b/>
        <sz val="9"/>
        <color indexed="9"/>
        <rFont val="Arial"/>
        <family val="2"/>
      </rPr>
      <t>TAEKWONDO</t>
    </r>
  </si>
  <si>
    <r>
      <rPr>
        <b/>
        <sz val="9"/>
        <color indexed="9"/>
        <rFont val="Arial"/>
        <family val="2"/>
      </rPr>
      <t>TENIS</t>
    </r>
  </si>
  <si>
    <r>
      <rPr>
        <b/>
        <sz val="9"/>
        <color indexed="9"/>
        <rFont val="Arial"/>
        <family val="2"/>
      </rPr>
      <t>TENIS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DE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MESA</t>
    </r>
  </si>
  <si>
    <r>
      <rPr>
        <b/>
        <sz val="9"/>
        <color indexed="9"/>
        <rFont val="Arial"/>
        <family val="2"/>
      </rPr>
      <t>TIRO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CON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ARCO</t>
    </r>
  </si>
  <si>
    <r>
      <rPr>
        <b/>
        <sz val="9"/>
        <color indexed="9"/>
        <rFont val="Arial"/>
        <family val="2"/>
      </rPr>
      <t>TIRO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OLIMPICO</t>
    </r>
  </si>
  <si>
    <r>
      <rPr>
        <b/>
        <sz val="9"/>
        <color indexed="9"/>
        <rFont val="Arial"/>
        <family val="2"/>
      </rPr>
      <t>TRIATLON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Y</t>
    </r>
    <r>
      <rPr>
        <sz val="9"/>
        <color indexed="9"/>
        <rFont val="Times New Roman"/>
        <family val="1"/>
      </rPr>
      <t xml:space="preserve"> </t>
    </r>
    <r>
      <rPr>
        <b/>
        <sz val="9"/>
        <color indexed="9"/>
        <rFont val="Arial"/>
        <family val="2"/>
      </rPr>
      <t>DD.CC.</t>
    </r>
  </si>
  <si>
    <r>
      <rPr>
        <b/>
        <sz val="9"/>
        <color indexed="9"/>
        <rFont val="Arial"/>
        <family val="2"/>
      </rPr>
      <t>VELA</t>
    </r>
  </si>
  <si>
    <r>
      <rPr>
        <b/>
        <sz val="9"/>
        <color indexed="9"/>
        <rFont val="Arial"/>
        <family val="2"/>
      </rPr>
      <t>VOLEIBOL</t>
    </r>
  </si>
  <si>
    <t>2005-2021</t>
  </si>
  <si>
    <t>% mujeres</t>
  </si>
  <si>
    <t>Porcentaje sobre lic. Totales</t>
  </si>
  <si>
    <t>DESGLOSE POR SEXO 2014</t>
  </si>
  <si>
    <t>DESGLOSE POR SEXO 2015</t>
  </si>
  <si>
    <t>DESGLOSE POR SEXO 2016</t>
  </si>
  <si>
    <t>NÚMERO DE LICENCIAS FEDERADAS DE DEPORTISTAS 2017</t>
  </si>
  <si>
    <t>NÚMERO DE LICENCIAS FEDERADAS DE DEPORTISTAS 2014</t>
  </si>
  <si>
    <t>NÚMERO DE LICENCIAS FEDERADAS DE DEPORTISTAS 2015</t>
  </si>
  <si>
    <t>NÚMERO DE LICENCIAS FEDERADAS DE DEPORTISTAS 2016</t>
  </si>
  <si>
    <t>NÚMERO DE LICENCIAS FEDERADAS DE DEPORTISTAS 2018</t>
  </si>
  <si>
    <t>NÚMERO DE LICENCIAS FEDERADAS DE DEPORTISTAS 2019</t>
  </si>
  <si>
    <t>DESGLOSE POR SEXO 2019</t>
  </si>
  <si>
    <t>DESGLOSE POR SEXO 2020</t>
  </si>
  <si>
    <t>NÚMERO DE LICENCIAS FEDERADAS DE DEPORTISTAS 2020</t>
  </si>
  <si>
    <t>DESGLOSE POR SEXO 2021</t>
  </si>
  <si>
    <t>NÚMERO DE LICENCIAS FEDERADAS DE DEPORTISTAS 2021</t>
  </si>
  <si>
    <t>LIZENTZIA FEDERATU KOPURUAREN BILAKAERA</t>
  </si>
  <si>
    <t>EMAKUME KIROLARIEN LIZENTZIA KOPURUAREN BILAKAERA</t>
  </si>
  <si>
    <t>NÚMERO DE LICENCIAS FEDERADAS DE DEPORTISTAS 2022</t>
  </si>
  <si>
    <t>DESGLOSE POR SEXO 2022</t>
  </si>
  <si>
    <t>ESQUÍ NAÚTICO Y MOTO</t>
  </si>
  <si>
    <r>
      <rPr>
        <b/>
        <sz val="9"/>
        <color theme="0"/>
        <rFont val="Arial"/>
        <family val="2"/>
      </rPr>
      <t>ACTV.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SUBAC.</t>
    </r>
  </si>
  <si>
    <r>
      <rPr>
        <b/>
        <sz val="9"/>
        <color theme="0"/>
        <rFont val="Arial"/>
        <family val="2"/>
      </rPr>
      <t>BEISBOL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Y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SOFTBOL</t>
    </r>
  </si>
  <si>
    <r>
      <rPr>
        <b/>
        <sz val="9"/>
        <color theme="0"/>
        <rFont val="Arial"/>
        <family val="2"/>
      </rPr>
      <t>DEPORTES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AÉREOS</t>
    </r>
  </si>
  <si>
    <r>
      <rPr>
        <b/>
        <sz val="9"/>
        <color theme="0"/>
        <rFont val="Arial"/>
        <family val="2"/>
      </rPr>
      <t>DEP.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INVIERNO</t>
    </r>
  </si>
  <si>
    <r>
      <rPr>
        <b/>
        <sz val="9"/>
        <color theme="0"/>
        <rFont val="Arial"/>
        <family val="2"/>
      </rPr>
      <t>DXT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ADAPTADO</t>
    </r>
  </si>
  <si>
    <r>
      <rPr>
        <b/>
        <sz val="9"/>
        <color theme="0"/>
        <rFont val="Arial"/>
        <family val="2"/>
      </rPr>
      <t>JUDO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Y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DD.AA.</t>
    </r>
  </si>
  <si>
    <r>
      <rPr>
        <b/>
        <sz val="9"/>
        <color theme="0"/>
        <rFont val="Arial"/>
        <family val="2"/>
      </rPr>
      <t>LUCHA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Y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SAMBO</t>
    </r>
  </si>
  <si>
    <r>
      <rPr>
        <b/>
        <sz val="9"/>
        <color theme="0"/>
        <rFont val="Arial"/>
        <family val="2"/>
      </rPr>
      <t>PELOTA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VASCA</t>
    </r>
  </si>
  <si>
    <r>
      <rPr>
        <b/>
        <sz val="9"/>
        <color theme="0"/>
        <rFont val="Arial"/>
        <family val="2"/>
      </rPr>
      <t>PESCA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Y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CASTING</t>
    </r>
  </si>
  <si>
    <r>
      <rPr>
        <b/>
        <sz val="9"/>
        <color theme="0"/>
        <rFont val="Arial"/>
        <family val="2"/>
      </rPr>
      <t>TENIS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DE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MESA</t>
    </r>
  </si>
  <si>
    <r>
      <rPr>
        <b/>
        <sz val="9"/>
        <color theme="0"/>
        <rFont val="Arial"/>
        <family val="2"/>
      </rPr>
      <t>TIRO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CON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ARCO</t>
    </r>
  </si>
  <si>
    <r>
      <rPr>
        <b/>
        <sz val="9"/>
        <color theme="0"/>
        <rFont val="Arial"/>
        <family val="2"/>
      </rPr>
      <t>TIRO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OLIMPICO</t>
    </r>
  </si>
  <si>
    <r>
      <rPr>
        <b/>
        <sz val="9"/>
        <color theme="0"/>
        <rFont val="Arial"/>
        <family val="2"/>
      </rPr>
      <t>TRIATLON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Y</t>
    </r>
    <r>
      <rPr>
        <sz val="9"/>
        <color theme="0"/>
        <rFont val="Times New Roman"/>
        <family val="1"/>
      </rPr>
      <t xml:space="preserve"> </t>
    </r>
    <r>
      <rPr>
        <b/>
        <sz val="9"/>
        <color theme="0"/>
        <rFont val="Arial"/>
        <family val="2"/>
      </rPr>
      <t>DD.CC.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</si>
</sst>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</font>
    <font>
      <b/>
      <sz val="9"/>
      <color indexed="9"/>
      <name val="Arial"/>
      <family val="2"/>
    </font>
    <font>
      <sz val="9"/>
      <name val="Times New Roman"/>
      <family val="1"/>
    </font>
    <font>
      <b/>
      <i/>
      <sz val="9"/>
      <name val="Arial"/>
    </font>
    <font>
      <sz val="9"/>
      <color indexed="9"/>
      <name val="Times New Roman"/>
      <family val="1"/>
    </font>
    <font>
      <b/>
      <sz val="9"/>
      <name val="Arial"/>
    </font>
    <font>
      <sz val="9"/>
      <name val="Arial MT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 MT"/>
      <family val="2"/>
    </font>
    <font>
      <sz val="9"/>
      <color rgb="FF000000"/>
      <name val="Arial"/>
      <family val="2"/>
    </font>
    <font>
      <sz val="9"/>
      <color rgb="FF000000"/>
      <name val="Arial "/>
    </font>
    <font>
      <b/>
      <sz val="9"/>
      <color theme="0"/>
      <name val="Arial "/>
    </font>
    <font>
      <b/>
      <sz val="9"/>
      <color theme="0"/>
      <name val="Arial MT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 "/>
    </font>
    <font>
      <b/>
      <sz val="9"/>
      <color rgb="FFFF0000"/>
      <name val="Arial "/>
    </font>
    <font>
      <sz val="9"/>
      <name val="Arial 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</patternFill>
    </fill>
    <fill>
      <patternFill patternType="solid">
        <fgColor rgb="FFC0C0C0"/>
      </patternFill>
    </fill>
    <fill>
      <patternFill patternType="solid">
        <fgColor rgb="FF355F9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3" fontId="2" fillId="0" borderId="0" xfId="0" applyNumberFormat="1" applyFont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10" fontId="5" fillId="0" borderId="0" xfId="1" applyNumberFormat="1" applyFont="1"/>
    <xf numFmtId="3" fontId="2" fillId="0" borderId="0" xfId="0" applyNumberFormat="1" applyFo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2" fontId="2" fillId="0" borderId="0" xfId="0" applyNumberFormat="1" applyFont="1"/>
    <xf numFmtId="2" fontId="5" fillId="0" borderId="0" xfId="1" applyNumberFormat="1" applyFont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3" fontId="2" fillId="4" borderId="6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" fontId="2" fillId="4" borderId="6" xfId="1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4" borderId="1" xfId="1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3" fontId="13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/>
    <xf numFmtId="4" fontId="13" fillId="3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13" fillId="3" borderId="0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 vertical="top" shrinkToFit="1"/>
    </xf>
    <xf numFmtId="3" fontId="15" fillId="6" borderId="9" xfId="0" applyNumberFormat="1" applyFont="1" applyFill="1" applyBorder="1" applyAlignment="1">
      <alignment horizontal="center" vertical="top" shrinkToFit="1"/>
    </xf>
    <xf numFmtId="0" fontId="0" fillId="7" borderId="10" xfId="0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right" vertical="center" wrapText="1" indent="1"/>
    </xf>
    <xf numFmtId="0" fontId="9" fillId="7" borderId="11" xfId="0" applyFont="1" applyFill="1" applyBorder="1" applyAlignment="1">
      <alignment horizontal="left" vertical="center" wrapText="1" indent="2"/>
    </xf>
    <xf numFmtId="0" fontId="0" fillId="7" borderId="12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left" vertical="top" wrapText="1"/>
    </xf>
    <xf numFmtId="0" fontId="11" fillId="8" borderId="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9" fillId="7" borderId="1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top"/>
    </xf>
    <xf numFmtId="3" fontId="13" fillId="3" borderId="6" xfId="0" applyNumberFormat="1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16" fillId="9" borderId="1" xfId="0" applyNumberFormat="1" applyFont="1" applyFill="1" applyBorder="1" applyAlignment="1">
      <alignment horizontal="center" vertical="top" shrinkToFit="1"/>
    </xf>
    <xf numFmtId="3" fontId="16" fillId="5" borderId="1" xfId="0" applyNumberFormat="1" applyFont="1" applyFill="1" applyBorder="1" applyAlignment="1">
      <alignment horizontal="center" vertical="top" shrinkToFit="1"/>
    </xf>
    <xf numFmtId="3" fontId="2" fillId="9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1" fontId="16" fillId="0" borderId="9" xfId="0" applyNumberFormat="1" applyFont="1" applyFill="1" applyBorder="1" applyAlignment="1">
      <alignment horizontal="center" vertical="top" shrinkToFit="1"/>
    </xf>
    <xf numFmtId="1" fontId="16" fillId="6" borderId="9" xfId="0" applyNumberFormat="1" applyFont="1" applyFill="1" applyBorder="1" applyAlignment="1">
      <alignment horizontal="center" vertical="top" shrinkToFit="1"/>
    </xf>
    <xf numFmtId="3" fontId="16" fillId="0" borderId="9" xfId="0" applyNumberFormat="1" applyFont="1" applyFill="1" applyBorder="1" applyAlignment="1">
      <alignment horizontal="center" vertical="top" shrinkToFit="1"/>
    </xf>
    <xf numFmtId="3" fontId="16" fillId="6" borderId="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Alignment="1">
      <alignment horizontal="center"/>
    </xf>
    <xf numFmtId="2" fontId="16" fillId="6" borderId="9" xfId="0" applyNumberFormat="1" applyFont="1" applyFill="1" applyBorder="1" applyAlignment="1">
      <alignment horizontal="center" vertical="top" shrinkToFit="1"/>
    </xf>
    <xf numFmtId="2" fontId="16" fillId="0" borderId="9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3" fontId="2" fillId="6" borderId="9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 wrapText="1"/>
    </xf>
    <xf numFmtId="1" fontId="17" fillId="6" borderId="9" xfId="0" applyNumberFormat="1" applyFont="1" applyFill="1" applyBorder="1" applyAlignment="1">
      <alignment horizontal="center" vertical="top" shrinkToFit="1"/>
    </xf>
    <xf numFmtId="2" fontId="17" fillId="6" borderId="9" xfId="0" applyNumberFormat="1" applyFont="1" applyFill="1" applyBorder="1" applyAlignment="1">
      <alignment horizontal="center" vertical="top" shrinkToFit="1"/>
    </xf>
    <xf numFmtId="2" fontId="17" fillId="0" borderId="9" xfId="0" applyNumberFormat="1" applyFont="1" applyFill="1" applyBorder="1" applyAlignment="1">
      <alignment horizontal="center" vertical="top" shrinkToFit="1"/>
    </xf>
    <xf numFmtId="3" fontId="17" fillId="6" borderId="9" xfId="0" applyNumberFormat="1" applyFont="1" applyFill="1" applyBorder="1" applyAlignment="1">
      <alignment horizontal="center" vertical="top" shrinkToFit="1"/>
    </xf>
    <xf numFmtId="1" fontId="17" fillId="0" borderId="9" xfId="0" applyNumberFormat="1" applyFont="1" applyFill="1" applyBorder="1" applyAlignment="1">
      <alignment horizontal="center" vertical="top" shrinkToFit="1"/>
    </xf>
    <xf numFmtId="3" fontId="17" fillId="0" borderId="9" xfId="0" applyNumberFormat="1" applyFont="1" applyFill="1" applyBorder="1" applyAlignment="1">
      <alignment horizontal="center" vertical="top" shrinkToFit="1"/>
    </xf>
    <xf numFmtId="4" fontId="15" fillId="0" borderId="9" xfId="0" applyNumberFormat="1" applyFont="1" applyFill="1" applyBorder="1" applyAlignment="1">
      <alignment horizontal="center" vertical="top" shrinkToFit="1"/>
    </xf>
    <xf numFmtId="4" fontId="15" fillId="6" borderId="9" xfId="0" applyNumberFormat="1" applyFont="1" applyFill="1" applyBorder="1" applyAlignment="1">
      <alignment horizontal="center" vertical="top" shrinkToFit="1"/>
    </xf>
    <xf numFmtId="4" fontId="12" fillId="6" borderId="9" xfId="0" applyNumberFormat="1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left" vertical="top" wrapText="1"/>
    </xf>
    <xf numFmtId="0" fontId="11" fillId="8" borderId="10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wrapText="1"/>
    </xf>
    <xf numFmtId="0" fontId="9" fillId="7" borderId="14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left" vertical="center" wrapText="1" indent="1"/>
    </xf>
    <xf numFmtId="0" fontId="0" fillId="7" borderId="13" xfId="0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top" shrinkToFit="1"/>
    </xf>
    <xf numFmtId="2" fontId="17" fillId="0" borderId="0" xfId="0" applyNumberFormat="1" applyFont="1" applyFill="1" applyBorder="1" applyAlignment="1">
      <alignment vertical="top" shrinkToFit="1"/>
    </xf>
    <xf numFmtId="2" fontId="15" fillId="0" borderId="14" xfId="0" applyNumberFormat="1" applyFont="1" applyFill="1" applyBorder="1" applyAlignment="1">
      <alignment horizontal="center" vertical="top" shrinkToFit="1"/>
    </xf>
    <xf numFmtId="3" fontId="13" fillId="3" borderId="9" xfId="0" applyNumberFormat="1" applyFont="1" applyFill="1" applyBorder="1" applyAlignment="1">
      <alignment horizontal="center" vertical="top" shrinkToFit="1"/>
    </xf>
    <xf numFmtId="2" fontId="17" fillId="0" borderId="14" xfId="0" applyNumberFormat="1" applyFont="1" applyFill="1" applyBorder="1" applyAlignment="1">
      <alignment vertical="top" shrinkToFit="1"/>
    </xf>
    <xf numFmtId="3" fontId="18" fillId="3" borderId="9" xfId="0" applyNumberFormat="1" applyFont="1" applyFill="1" applyBorder="1" applyAlignment="1">
      <alignment horizontal="center" vertical="top" shrinkToFit="1"/>
    </xf>
    <xf numFmtId="2" fontId="18" fillId="3" borderId="15" xfId="0" applyNumberFormat="1" applyFont="1" applyFill="1" applyBorder="1" applyAlignment="1">
      <alignment horizontal="center" vertical="top" shrinkToFit="1"/>
    </xf>
    <xf numFmtId="2" fontId="19" fillId="3" borderId="15" xfId="0" applyNumberFormat="1" applyFont="1" applyFill="1" applyBorder="1" applyAlignment="1">
      <alignment horizontal="center" vertical="top" shrinkToFit="1"/>
    </xf>
    <xf numFmtId="3" fontId="15" fillId="6" borderId="16" xfId="0" applyNumberFormat="1" applyFont="1" applyFill="1" applyBorder="1" applyAlignment="1">
      <alignment horizontal="center" vertical="top" shrinkToFit="1"/>
    </xf>
    <xf numFmtId="3" fontId="15" fillId="0" borderId="16" xfId="0" applyNumberFormat="1" applyFont="1" applyFill="1" applyBorder="1" applyAlignment="1">
      <alignment horizontal="center" vertical="top" shrinkToFit="1"/>
    </xf>
    <xf numFmtId="4" fontId="15" fillId="6" borderId="16" xfId="0" applyNumberFormat="1" applyFont="1" applyFill="1" applyBorder="1" applyAlignment="1">
      <alignment horizontal="center" vertical="top" shrinkToFit="1"/>
    </xf>
    <xf numFmtId="3" fontId="13" fillId="3" borderId="1" xfId="0" applyNumberFormat="1" applyFont="1" applyFill="1" applyBorder="1" applyAlignment="1">
      <alignment horizontal="center" vertical="top" shrinkToFit="1"/>
    </xf>
    <xf numFmtId="3" fontId="18" fillId="3" borderId="17" xfId="0" applyNumberFormat="1" applyFont="1" applyFill="1" applyBorder="1" applyAlignment="1">
      <alignment horizontal="center" vertical="top" shrinkToFit="1"/>
    </xf>
    <xf numFmtId="2" fontId="17" fillId="10" borderId="1" xfId="0" applyNumberFormat="1" applyFont="1" applyFill="1" applyBorder="1" applyAlignment="1">
      <alignment horizontal="center" vertical="top" shrinkToFit="1"/>
    </xf>
    <xf numFmtId="0" fontId="4" fillId="7" borderId="14" xfId="0" applyFont="1" applyFill="1" applyBorder="1" applyAlignment="1">
      <alignment horizontal="center" vertical="center" wrapText="1"/>
    </xf>
    <xf numFmtId="4" fontId="18" fillId="3" borderId="17" xfId="0" applyNumberFormat="1" applyFont="1" applyFill="1" applyBorder="1" applyAlignment="1">
      <alignment horizontal="center" vertical="top" shrinkToFit="1"/>
    </xf>
    <xf numFmtId="2" fontId="18" fillId="3" borderId="6" xfId="0" applyNumberFormat="1" applyFont="1" applyFill="1" applyBorder="1" applyAlignment="1">
      <alignment horizontal="center" vertical="top" shrinkToFit="1"/>
    </xf>
    <xf numFmtId="3" fontId="0" fillId="10" borderId="1" xfId="0" applyNumberForma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 vertical="top" shrinkToFit="1"/>
    </xf>
    <xf numFmtId="3" fontId="18" fillId="5" borderId="17" xfId="0" applyNumberFormat="1" applyFont="1" applyFill="1" applyBorder="1" applyAlignment="1">
      <alignment horizontal="center" vertical="top" shrinkToFit="1"/>
    </xf>
    <xf numFmtId="0" fontId="5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left" vertical="top" wrapText="1"/>
    </xf>
    <xf numFmtId="0" fontId="21" fillId="0" borderId="0" xfId="0" applyFont="1"/>
    <xf numFmtId="3" fontId="21" fillId="0" borderId="0" xfId="0" applyNumberFormat="1" applyFont="1" applyBorder="1"/>
    <xf numFmtId="0" fontId="22" fillId="0" borderId="0" xfId="0" applyFont="1"/>
    <xf numFmtId="1" fontId="23" fillId="6" borderId="9" xfId="0" applyNumberFormat="1" applyFont="1" applyFill="1" applyBorder="1" applyAlignment="1">
      <alignment horizontal="center" vertical="top" shrinkToFit="1"/>
    </xf>
    <xf numFmtId="3" fontId="23" fillId="0" borderId="9" xfId="0" applyNumberFormat="1" applyFont="1" applyFill="1" applyBorder="1" applyAlignment="1">
      <alignment horizontal="center" vertical="top" shrinkToFit="1"/>
    </xf>
    <xf numFmtId="2" fontId="23" fillId="6" borderId="9" xfId="0" applyNumberFormat="1" applyFont="1" applyFill="1" applyBorder="1" applyAlignment="1">
      <alignment horizontal="center" vertical="top" shrinkToFit="1"/>
    </xf>
    <xf numFmtId="2" fontId="23" fillId="0" borderId="9" xfId="0" applyNumberFormat="1" applyFont="1" applyFill="1" applyBorder="1" applyAlignment="1">
      <alignment horizontal="center" vertical="top" shrinkToFit="1"/>
    </xf>
    <xf numFmtId="3" fontId="23" fillId="6" borderId="9" xfId="0" applyNumberFormat="1" applyFont="1" applyFill="1" applyBorder="1" applyAlignment="1">
      <alignment horizontal="center" vertical="top" shrinkToFit="1"/>
    </xf>
    <xf numFmtId="1" fontId="23" fillId="0" borderId="9" xfId="0" applyNumberFormat="1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left" wrapText="1"/>
    </xf>
    <xf numFmtId="3" fontId="24" fillId="3" borderId="9" xfId="0" applyNumberFormat="1" applyFont="1" applyFill="1" applyBorder="1" applyAlignment="1">
      <alignment horizontal="center" vertical="top" shrinkToFit="1"/>
    </xf>
    <xf numFmtId="2" fontId="24" fillId="3" borderId="15" xfId="0" applyNumberFormat="1" applyFont="1" applyFill="1" applyBorder="1" applyAlignment="1">
      <alignment horizontal="center" vertical="top" shrinkToFit="1"/>
    </xf>
    <xf numFmtId="2" fontId="23" fillId="0" borderId="14" xfId="0" applyNumberFormat="1" applyFont="1" applyFill="1" applyBorder="1" applyAlignment="1">
      <alignment vertical="top" shrinkToFit="1"/>
    </xf>
    <xf numFmtId="3" fontId="22" fillId="0" borderId="0" xfId="0" applyNumberFormat="1" applyFont="1" applyAlignment="1">
      <alignment horizontal="center"/>
    </xf>
    <xf numFmtId="0" fontId="3" fillId="11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25" fillId="6" borderId="9" xfId="0" applyNumberFormat="1" applyFont="1" applyFill="1" applyBorder="1" applyAlignment="1">
      <alignment horizontal="center" vertical="top" shrinkToFit="1"/>
    </xf>
    <xf numFmtId="3" fontId="25" fillId="0" borderId="9" xfId="0" applyNumberFormat="1" applyFont="1" applyFill="1" applyBorder="1" applyAlignment="1">
      <alignment horizontal="center" vertical="top" shrinkToFit="1"/>
    </xf>
    <xf numFmtId="3" fontId="25" fillId="6" borderId="9" xfId="0" applyNumberFormat="1" applyFont="1" applyFill="1" applyBorder="1" applyAlignment="1">
      <alignment horizontal="center" vertical="top" shrinkToFit="1"/>
    </xf>
    <xf numFmtId="1" fontId="25" fillId="0" borderId="9" xfId="0" applyNumberFormat="1" applyFont="1" applyFill="1" applyBorder="1" applyAlignment="1">
      <alignment horizontal="center" vertical="top" shrinkToFit="1"/>
    </xf>
    <xf numFmtId="0" fontId="27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26" fillId="7" borderId="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 indent="1"/>
    </xf>
    <xf numFmtId="0" fontId="4" fillId="7" borderId="11" xfId="0" applyFont="1" applyFill="1" applyBorder="1" applyAlignment="1">
      <alignment horizontal="left" vertical="center" wrapText="1" indent="2"/>
    </xf>
    <xf numFmtId="0" fontId="26" fillId="7" borderId="12" xfId="0" applyFont="1" applyFill="1" applyBorder="1" applyAlignment="1">
      <alignment horizontal="center" vertical="center" wrapText="1"/>
    </xf>
    <xf numFmtId="3" fontId="25" fillId="12" borderId="9" xfId="0" applyNumberFormat="1" applyFont="1" applyFill="1" applyBorder="1" applyAlignment="1">
      <alignment horizontal="center" vertical="top" shrinkToFit="1"/>
    </xf>
    <xf numFmtId="3" fontId="16" fillId="12" borderId="1" xfId="0" applyNumberFormat="1" applyFont="1" applyFill="1" applyBorder="1" applyAlignment="1">
      <alignment horizontal="center" vertical="top" shrinkToFit="1"/>
    </xf>
    <xf numFmtId="3" fontId="0" fillId="12" borderId="1" xfId="0" applyNumberFormat="1" applyFill="1" applyBorder="1" applyAlignment="1">
      <alignment horizontal="center"/>
    </xf>
    <xf numFmtId="3" fontId="2" fillId="12" borderId="1" xfId="0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Ehunekoa" xfId="1" builtinId="5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'Evol. Muj.'!$B$6:$S$6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'Evol. Muj.'!$B$57:$S$57</c:f>
              <c:numCache>
                <c:formatCode>#,##0</c:formatCode>
                <c:ptCount val="18"/>
                <c:pt idx="0">
                  <c:v>28256</c:v>
                </c:pt>
                <c:pt idx="1">
                  <c:v>39043</c:v>
                </c:pt>
                <c:pt idx="2">
                  <c:v>31698</c:v>
                </c:pt>
                <c:pt idx="3">
                  <c:v>33856</c:v>
                </c:pt>
                <c:pt idx="4">
                  <c:v>32982</c:v>
                </c:pt>
                <c:pt idx="5">
                  <c:v>33670</c:v>
                </c:pt>
                <c:pt idx="6">
                  <c:v>34290</c:v>
                </c:pt>
                <c:pt idx="7">
                  <c:v>32338</c:v>
                </c:pt>
                <c:pt idx="8">
                  <c:v>32466</c:v>
                </c:pt>
                <c:pt idx="9">
                  <c:v>32787</c:v>
                </c:pt>
                <c:pt idx="10">
                  <c:v>33450</c:v>
                </c:pt>
                <c:pt idx="11">
                  <c:v>34794</c:v>
                </c:pt>
                <c:pt idx="12">
                  <c:v>0</c:v>
                </c:pt>
                <c:pt idx="13">
                  <c:v>37798</c:v>
                </c:pt>
                <c:pt idx="14">
                  <c:v>38548</c:v>
                </c:pt>
                <c:pt idx="15">
                  <c:v>41782</c:v>
                </c:pt>
                <c:pt idx="16">
                  <c:v>40624</c:v>
                </c:pt>
                <c:pt idx="17">
                  <c:v>45684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D-4827-965B-BD0842FED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55767320"/>
        <c:axId val="1"/>
      </c:lineChart>
      <c:catAx>
        <c:axId val="15576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76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u-ES" b="1"/>
              <a:t>LIZENTZIA KOPURUAREN BILAKAERA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'Evol. Lic.'!$B$6:$S$6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'Evol. Lic.'!$B$57:$S$57</c:f>
              <c:numCache>
                <c:formatCode>#,##0</c:formatCode>
                <c:ptCount val="18"/>
                <c:pt idx="0">
                  <c:v>152983</c:v>
                </c:pt>
                <c:pt idx="1">
                  <c:v>167044</c:v>
                </c:pt>
                <c:pt idx="2">
                  <c:v>169465</c:v>
                </c:pt>
                <c:pt idx="3">
                  <c:v>161531</c:v>
                </c:pt>
                <c:pt idx="4">
                  <c:v>163217</c:v>
                </c:pt>
                <c:pt idx="5">
                  <c:v>163804</c:v>
                </c:pt>
                <c:pt idx="6">
                  <c:v>167891</c:v>
                </c:pt>
                <c:pt idx="7">
                  <c:v>163119</c:v>
                </c:pt>
                <c:pt idx="8">
                  <c:v>159884</c:v>
                </c:pt>
                <c:pt idx="9">
                  <c:v>162441</c:v>
                </c:pt>
                <c:pt idx="10">
                  <c:v>163990</c:v>
                </c:pt>
                <c:pt idx="11">
                  <c:v>165617</c:v>
                </c:pt>
                <c:pt idx="12">
                  <c:v>162557</c:v>
                </c:pt>
                <c:pt idx="13">
                  <c:v>170364</c:v>
                </c:pt>
                <c:pt idx="14">
                  <c:v>172284</c:v>
                </c:pt>
                <c:pt idx="15">
                  <c:v>174875</c:v>
                </c:pt>
                <c:pt idx="16">
                  <c:v>168649</c:v>
                </c:pt>
                <c:pt idx="17">
                  <c:v>184321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D-48B3-B2E8-AC406B68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66336"/>
        <c:axId val="1"/>
      </c:lineChart>
      <c:catAx>
        <c:axId val="1557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76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8</xdr:row>
      <xdr:rowOff>66675</xdr:rowOff>
    </xdr:from>
    <xdr:to>
      <xdr:col>27</xdr:col>
      <xdr:colOff>628650</xdr:colOff>
      <xdr:row>31</xdr:row>
      <xdr:rowOff>104775</xdr:rowOff>
    </xdr:to>
    <xdr:graphicFrame macro="">
      <xdr:nvGraphicFramePr>
        <xdr:cNvPr id="1026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361950</xdr:colOff>
      <xdr:row>10</xdr:row>
      <xdr:rowOff>104775</xdr:rowOff>
    </xdr:from>
    <xdr:to>
      <xdr:col>31</xdr:col>
      <xdr:colOff>276225</xdr:colOff>
      <xdr:row>36</xdr:row>
      <xdr:rowOff>95250</xdr:rowOff>
    </xdr:to>
    <xdr:graphicFrame macro="">
      <xdr:nvGraphicFramePr>
        <xdr:cNvPr id="10241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4"/>
  <sheetViews>
    <sheetView zoomScaleNormal="100" zoomScaleSheetLayoutView="100" workbookViewId="0">
      <selection activeCell="O59" sqref="O59"/>
    </sheetView>
  </sheetViews>
  <sheetFormatPr defaultColWidth="11.42578125" defaultRowHeight="12.75"/>
  <cols>
    <col min="1" max="1" width="23.7109375" style="1" bestFit="1" customWidth="1"/>
    <col min="2" max="10" width="6.42578125" style="1" bestFit="1" customWidth="1"/>
    <col min="11" max="19" width="6.42578125" style="1" customWidth="1"/>
    <col min="20" max="20" width="11.42578125" style="1"/>
    <col min="40" max="16384" width="11.42578125" style="1"/>
  </cols>
  <sheetData>
    <row r="2" spans="1:20" ht="15.75" customHeight="1">
      <c r="A2" s="155" t="s">
        <v>151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37"/>
    </row>
    <row r="3" spans="1:20" s="3" customFormat="1" ht="15.75" customHeight="1">
      <c r="A3" s="154" t="s">
        <v>133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36"/>
    </row>
    <row r="4" spans="1:20" s="3" customFormat="1" ht="15.75" customHeight="1">
      <c r="A4" s="4"/>
      <c r="B4" s="4"/>
    </row>
    <row r="6" spans="1:20">
      <c r="A6" s="5" t="s">
        <v>47</v>
      </c>
      <c r="B6" s="6">
        <v>2005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2013</v>
      </c>
      <c r="K6" s="6">
        <v>2014</v>
      </c>
      <c r="L6" s="6">
        <v>2015</v>
      </c>
      <c r="M6" s="6">
        <v>2016</v>
      </c>
      <c r="N6" s="6">
        <v>2017</v>
      </c>
      <c r="O6" s="6">
        <v>2018</v>
      </c>
      <c r="P6" s="6">
        <v>2019</v>
      </c>
      <c r="Q6" s="6">
        <v>2020</v>
      </c>
      <c r="R6" s="6">
        <v>2021</v>
      </c>
      <c r="S6" s="6">
        <v>2022</v>
      </c>
    </row>
    <row r="7" spans="1:20">
      <c r="A7" s="40" t="s">
        <v>0</v>
      </c>
      <c r="B7" s="42">
        <v>372</v>
      </c>
      <c r="C7" s="56">
        <v>423</v>
      </c>
      <c r="D7" s="42">
        <v>400</v>
      </c>
      <c r="E7" s="56">
        <v>349</v>
      </c>
      <c r="F7" s="42">
        <v>384</v>
      </c>
      <c r="G7" s="56">
        <v>288</v>
      </c>
      <c r="H7" s="42">
        <v>356</v>
      </c>
      <c r="I7" s="56">
        <v>272</v>
      </c>
      <c r="J7" s="42">
        <v>277</v>
      </c>
      <c r="K7" s="59">
        <v>320</v>
      </c>
      <c r="L7" s="60">
        <v>264</v>
      </c>
      <c r="M7" s="59">
        <v>280</v>
      </c>
      <c r="N7" s="42"/>
      <c r="O7" s="56">
        <v>294</v>
      </c>
      <c r="P7" s="42">
        <v>353</v>
      </c>
      <c r="Q7" s="56">
        <v>423</v>
      </c>
      <c r="R7" s="42">
        <v>390</v>
      </c>
      <c r="S7" s="56">
        <v>403</v>
      </c>
      <c r="T7"/>
    </row>
    <row r="8" spans="1:20">
      <c r="A8" s="40" t="s">
        <v>1</v>
      </c>
      <c r="B8" s="42">
        <v>254</v>
      </c>
      <c r="C8" s="56">
        <v>312</v>
      </c>
      <c r="D8" s="42">
        <v>312</v>
      </c>
      <c r="E8" s="56">
        <v>312</v>
      </c>
      <c r="F8" s="42">
        <v>238</v>
      </c>
      <c r="G8" s="56">
        <v>259</v>
      </c>
      <c r="H8" s="42">
        <v>271</v>
      </c>
      <c r="I8" s="56">
        <v>274</v>
      </c>
      <c r="J8" s="42">
        <v>283</v>
      </c>
      <c r="K8" s="59">
        <v>287</v>
      </c>
      <c r="L8" s="60">
        <v>287</v>
      </c>
      <c r="M8" s="59">
        <v>299</v>
      </c>
      <c r="N8" s="42"/>
      <c r="O8" s="56">
        <v>178</v>
      </c>
      <c r="P8" s="42">
        <v>178</v>
      </c>
      <c r="Q8" s="56">
        <v>181</v>
      </c>
      <c r="R8" s="42">
        <v>215</v>
      </c>
      <c r="S8" s="56">
        <v>174</v>
      </c>
      <c r="T8"/>
    </row>
    <row r="9" spans="1:20">
      <c r="A9" s="40" t="s">
        <v>2</v>
      </c>
      <c r="B9" s="42">
        <v>454</v>
      </c>
      <c r="C9" s="56">
        <v>572</v>
      </c>
      <c r="D9" s="42">
        <v>572</v>
      </c>
      <c r="E9" s="56">
        <v>560</v>
      </c>
      <c r="F9" s="42">
        <v>576</v>
      </c>
      <c r="G9" s="56">
        <v>600</v>
      </c>
      <c r="H9" s="42">
        <v>640</v>
      </c>
      <c r="I9" s="56">
        <v>664</v>
      </c>
      <c r="J9" s="42">
        <v>714</v>
      </c>
      <c r="K9" s="59">
        <v>807</v>
      </c>
      <c r="L9" s="60">
        <v>885</v>
      </c>
      <c r="M9" s="59">
        <v>1047</v>
      </c>
      <c r="N9" s="42"/>
      <c r="O9" s="56">
        <v>1167</v>
      </c>
      <c r="P9" s="42">
        <v>1189</v>
      </c>
      <c r="Q9" s="56">
        <v>1352</v>
      </c>
      <c r="R9" s="42">
        <v>1200</v>
      </c>
      <c r="S9" s="56">
        <v>1271</v>
      </c>
      <c r="T9"/>
    </row>
    <row r="10" spans="1:20">
      <c r="A10" s="40" t="s">
        <v>3</v>
      </c>
      <c r="B10" s="42">
        <v>24</v>
      </c>
      <c r="C10" s="56">
        <v>45</v>
      </c>
      <c r="D10" s="42">
        <v>50</v>
      </c>
      <c r="E10" s="56">
        <v>40</v>
      </c>
      <c r="F10" s="42">
        <v>29</v>
      </c>
      <c r="G10" s="56">
        <v>34</v>
      </c>
      <c r="H10" s="42">
        <v>49</v>
      </c>
      <c r="I10" s="56">
        <v>25</v>
      </c>
      <c r="J10" s="42">
        <v>31</v>
      </c>
      <c r="K10" s="59">
        <v>31</v>
      </c>
      <c r="L10" s="60">
        <v>42</v>
      </c>
      <c r="M10" s="59">
        <v>52</v>
      </c>
      <c r="N10" s="42"/>
      <c r="O10" s="56">
        <v>93</v>
      </c>
      <c r="P10" s="42">
        <v>103</v>
      </c>
      <c r="Q10" s="56">
        <v>127</v>
      </c>
      <c r="R10" s="42">
        <v>76</v>
      </c>
      <c r="S10" s="56">
        <v>109</v>
      </c>
      <c r="T10"/>
    </row>
    <row r="11" spans="1:20">
      <c r="A11" s="40" t="s">
        <v>4</v>
      </c>
      <c r="B11" s="42">
        <v>153</v>
      </c>
      <c r="C11" s="56">
        <v>164</v>
      </c>
      <c r="D11" s="42">
        <v>168</v>
      </c>
      <c r="E11" s="56">
        <v>98</v>
      </c>
      <c r="F11" s="42">
        <v>91</v>
      </c>
      <c r="G11" s="56">
        <v>112</v>
      </c>
      <c r="H11" s="42">
        <v>105</v>
      </c>
      <c r="I11" s="56">
        <v>170</v>
      </c>
      <c r="J11" s="42">
        <v>110</v>
      </c>
      <c r="K11" s="59">
        <v>108</v>
      </c>
      <c r="L11" s="60">
        <v>108</v>
      </c>
      <c r="M11" s="59">
        <v>111</v>
      </c>
      <c r="N11" s="42"/>
      <c r="O11" s="56">
        <v>123</v>
      </c>
      <c r="P11" s="42">
        <v>115</v>
      </c>
      <c r="Q11" s="56">
        <v>116</v>
      </c>
      <c r="R11" s="42">
        <v>175</v>
      </c>
      <c r="S11" s="56">
        <v>160</v>
      </c>
      <c r="T11"/>
    </row>
    <row r="12" spans="1:20">
      <c r="A12" s="40" t="s">
        <v>5</v>
      </c>
      <c r="B12" s="42">
        <v>3305</v>
      </c>
      <c r="C12" s="56">
        <v>2968</v>
      </c>
      <c r="D12" s="42">
        <v>2835</v>
      </c>
      <c r="E12" s="56">
        <v>2941</v>
      </c>
      <c r="F12" s="42">
        <v>3064</v>
      </c>
      <c r="G12" s="56">
        <v>3083</v>
      </c>
      <c r="H12" s="42">
        <v>3336</v>
      </c>
      <c r="I12" s="56">
        <v>3004</v>
      </c>
      <c r="J12" s="42">
        <v>3091</v>
      </c>
      <c r="K12" s="59">
        <v>3241</v>
      </c>
      <c r="L12" s="60">
        <v>3307</v>
      </c>
      <c r="M12" s="59">
        <v>3456</v>
      </c>
      <c r="N12" s="42"/>
      <c r="O12" s="56">
        <v>3423</v>
      </c>
      <c r="P12" s="42">
        <v>3440</v>
      </c>
      <c r="Q12" s="56">
        <v>3633</v>
      </c>
      <c r="R12" s="42">
        <v>3748</v>
      </c>
      <c r="S12" s="56">
        <v>3852</v>
      </c>
      <c r="T12"/>
    </row>
    <row r="13" spans="1:20">
      <c r="A13" s="40" t="s">
        <v>6</v>
      </c>
      <c r="B13" s="42">
        <v>970</v>
      </c>
      <c r="C13" s="56">
        <v>965</v>
      </c>
      <c r="D13" s="42">
        <v>1034</v>
      </c>
      <c r="E13" s="56">
        <v>1077</v>
      </c>
      <c r="F13" s="42">
        <v>1085</v>
      </c>
      <c r="G13" s="56">
        <v>1253</v>
      </c>
      <c r="H13" s="42">
        <v>1214</v>
      </c>
      <c r="I13" s="56">
        <v>1184</v>
      </c>
      <c r="J13" s="42">
        <v>1308</v>
      </c>
      <c r="K13" s="59">
        <v>1123</v>
      </c>
      <c r="L13" s="60">
        <v>1246</v>
      </c>
      <c r="M13" s="59">
        <v>1315</v>
      </c>
      <c r="N13" s="42"/>
      <c r="O13" s="56">
        <v>1327</v>
      </c>
      <c r="P13" s="42">
        <v>1340</v>
      </c>
      <c r="Q13" s="56">
        <v>1800</v>
      </c>
      <c r="R13" s="42">
        <v>1761</v>
      </c>
      <c r="S13" s="56">
        <v>1866</v>
      </c>
      <c r="T13"/>
    </row>
    <row r="14" spans="1:20">
      <c r="A14" s="40" t="s">
        <v>7</v>
      </c>
      <c r="B14" s="42">
        <v>186</v>
      </c>
      <c r="C14" s="56">
        <v>219</v>
      </c>
      <c r="D14" s="42">
        <v>242</v>
      </c>
      <c r="E14" s="56">
        <v>260</v>
      </c>
      <c r="F14" s="42">
        <v>297</v>
      </c>
      <c r="G14" s="56">
        <v>193</v>
      </c>
      <c r="H14" s="42">
        <v>156</v>
      </c>
      <c r="I14" s="56">
        <v>167</v>
      </c>
      <c r="J14" s="42">
        <v>134</v>
      </c>
      <c r="K14" s="59">
        <v>82</v>
      </c>
      <c r="L14" s="60">
        <v>71</v>
      </c>
      <c r="M14" s="59">
        <v>75</v>
      </c>
      <c r="N14" s="42"/>
      <c r="O14" s="56">
        <v>95</v>
      </c>
      <c r="P14" s="42">
        <v>69</v>
      </c>
      <c r="Q14" s="56">
        <v>78</v>
      </c>
      <c r="R14" s="42">
        <v>35</v>
      </c>
      <c r="S14" s="56">
        <v>45</v>
      </c>
      <c r="T14"/>
    </row>
    <row r="15" spans="1:20">
      <c r="A15" s="40" t="s">
        <v>54</v>
      </c>
      <c r="B15" s="42">
        <v>0</v>
      </c>
      <c r="C15" s="56">
        <v>13</v>
      </c>
      <c r="D15" s="42">
        <v>6</v>
      </c>
      <c r="E15" s="56">
        <v>8</v>
      </c>
      <c r="F15" s="42">
        <v>14</v>
      </c>
      <c r="G15" s="56">
        <v>22</v>
      </c>
      <c r="H15" s="42"/>
      <c r="I15" s="56"/>
      <c r="J15" s="42"/>
      <c r="K15" s="56"/>
      <c r="L15" s="42"/>
      <c r="M15" s="56"/>
      <c r="N15" s="42"/>
      <c r="O15" s="56"/>
      <c r="P15" s="42"/>
      <c r="Q15" s="56"/>
      <c r="R15" s="42"/>
      <c r="S15" s="56"/>
    </row>
    <row r="16" spans="1:20">
      <c r="A16" s="40" t="s">
        <v>8</v>
      </c>
      <c r="B16" s="42">
        <v>569</v>
      </c>
      <c r="C16" s="56">
        <v>573</v>
      </c>
      <c r="D16" s="42">
        <v>635</v>
      </c>
      <c r="E16" s="56">
        <v>571</v>
      </c>
      <c r="F16" s="42">
        <v>615</v>
      </c>
      <c r="G16" s="56">
        <v>593</v>
      </c>
      <c r="H16" s="42">
        <v>562</v>
      </c>
      <c r="I16" s="56">
        <v>637</v>
      </c>
      <c r="J16" s="42">
        <v>483</v>
      </c>
      <c r="K16" s="59">
        <v>365</v>
      </c>
      <c r="L16" s="60">
        <v>368</v>
      </c>
      <c r="M16" s="59">
        <v>345</v>
      </c>
      <c r="N16" s="42"/>
      <c r="O16" s="56">
        <v>341</v>
      </c>
      <c r="P16" s="42">
        <v>357</v>
      </c>
      <c r="Q16" s="113">
        <v>381</v>
      </c>
      <c r="R16" s="42">
        <v>365</v>
      </c>
      <c r="S16" s="56">
        <v>355</v>
      </c>
      <c r="T16"/>
    </row>
    <row r="17" spans="1:20">
      <c r="A17" s="40" t="s">
        <v>9</v>
      </c>
      <c r="B17" s="42">
        <v>12</v>
      </c>
      <c r="C17" s="56">
        <v>25</v>
      </c>
      <c r="D17" s="42">
        <v>20</v>
      </c>
      <c r="E17" s="56">
        <v>15</v>
      </c>
      <c r="F17" s="42">
        <v>17</v>
      </c>
      <c r="G17" s="56">
        <v>17</v>
      </c>
      <c r="H17" s="42">
        <v>19</v>
      </c>
      <c r="I17" s="56">
        <v>29</v>
      </c>
      <c r="J17" s="42">
        <v>33</v>
      </c>
      <c r="K17" s="59">
        <v>67</v>
      </c>
      <c r="L17" s="60">
        <v>75</v>
      </c>
      <c r="M17" s="59">
        <v>82</v>
      </c>
      <c r="N17" s="42"/>
      <c r="O17" s="56">
        <v>348</v>
      </c>
      <c r="P17" s="42">
        <v>427</v>
      </c>
      <c r="Q17" s="113">
        <v>236</v>
      </c>
      <c r="R17" s="42">
        <v>248</v>
      </c>
      <c r="S17" s="56">
        <v>434</v>
      </c>
      <c r="T17"/>
    </row>
    <row r="18" spans="1:20">
      <c r="A18" s="40" t="s">
        <v>10</v>
      </c>
      <c r="B18" s="42">
        <v>157</v>
      </c>
      <c r="C18" s="56">
        <v>162</v>
      </c>
      <c r="D18" s="42">
        <v>121</v>
      </c>
      <c r="E18" s="56">
        <v>83</v>
      </c>
      <c r="F18" s="42">
        <v>75</v>
      </c>
      <c r="G18" s="56">
        <v>75</v>
      </c>
      <c r="H18" s="42">
        <v>77</v>
      </c>
      <c r="I18" s="56">
        <v>73</v>
      </c>
      <c r="J18" s="42">
        <v>103</v>
      </c>
      <c r="K18" s="59">
        <v>113</v>
      </c>
      <c r="L18" s="60">
        <v>106</v>
      </c>
      <c r="M18" s="59">
        <v>108</v>
      </c>
      <c r="N18" s="42"/>
      <c r="O18" s="56">
        <v>112</v>
      </c>
      <c r="P18" s="42">
        <v>137</v>
      </c>
      <c r="Q18" s="113">
        <v>118</v>
      </c>
      <c r="R18" s="42">
        <v>117</v>
      </c>
      <c r="S18" s="56">
        <v>193</v>
      </c>
      <c r="T18"/>
    </row>
    <row r="19" spans="1:20">
      <c r="A19" s="40" t="s">
        <v>11</v>
      </c>
      <c r="B19" s="42">
        <v>52</v>
      </c>
      <c r="C19" s="56">
        <v>76</v>
      </c>
      <c r="D19" s="42">
        <v>182</v>
      </c>
      <c r="E19" s="56">
        <v>224</v>
      </c>
      <c r="F19" s="42">
        <v>232</v>
      </c>
      <c r="G19" s="56">
        <v>261</v>
      </c>
      <c r="H19" s="42">
        <v>291</v>
      </c>
      <c r="I19" s="56">
        <v>282</v>
      </c>
      <c r="J19" s="42">
        <v>209</v>
      </c>
      <c r="K19" s="59">
        <v>274</v>
      </c>
      <c r="L19" s="60">
        <v>279</v>
      </c>
      <c r="M19" s="59">
        <v>246</v>
      </c>
      <c r="N19" s="42"/>
      <c r="O19" s="56">
        <v>304</v>
      </c>
      <c r="P19" s="42">
        <v>317</v>
      </c>
      <c r="Q19" s="113">
        <v>384</v>
      </c>
      <c r="R19" s="42">
        <v>402</v>
      </c>
      <c r="S19" s="56">
        <v>366</v>
      </c>
      <c r="T19"/>
    </row>
    <row r="20" spans="1:20">
      <c r="A20" s="40" t="s">
        <v>12</v>
      </c>
      <c r="B20" s="42">
        <v>22</v>
      </c>
      <c r="C20" s="56">
        <v>21</v>
      </c>
      <c r="D20" s="42">
        <v>35</v>
      </c>
      <c r="E20" s="56">
        <v>665</v>
      </c>
      <c r="F20" s="42">
        <v>23</v>
      </c>
      <c r="G20" s="56">
        <v>19</v>
      </c>
      <c r="H20" s="42">
        <v>22</v>
      </c>
      <c r="I20" s="56">
        <v>22</v>
      </c>
      <c r="J20" s="42">
        <v>21</v>
      </c>
      <c r="K20" s="59">
        <v>20</v>
      </c>
      <c r="L20" s="60">
        <v>19</v>
      </c>
      <c r="M20" s="59">
        <v>13</v>
      </c>
      <c r="N20" s="42"/>
      <c r="O20" s="56">
        <v>10</v>
      </c>
      <c r="P20" s="42">
        <v>17</v>
      </c>
      <c r="Q20" s="56">
        <v>19</v>
      </c>
      <c r="R20" s="42">
        <v>21</v>
      </c>
      <c r="S20" s="56">
        <v>24</v>
      </c>
      <c r="T20"/>
    </row>
    <row r="21" spans="1:20">
      <c r="A21" s="40" t="s">
        <v>13</v>
      </c>
      <c r="B21" s="42">
        <v>93</v>
      </c>
      <c r="C21" s="56">
        <v>1339</v>
      </c>
      <c r="D21" s="42">
        <v>1705</v>
      </c>
      <c r="E21" s="56">
        <v>1885</v>
      </c>
      <c r="F21" s="42">
        <v>1950</v>
      </c>
      <c r="G21" s="56">
        <v>2192</v>
      </c>
      <c r="H21" s="42">
        <v>2275</v>
      </c>
      <c r="I21" s="56">
        <v>914</v>
      </c>
      <c r="J21" s="42">
        <v>924</v>
      </c>
      <c r="K21" s="59">
        <v>986</v>
      </c>
      <c r="L21" s="60">
        <v>1114</v>
      </c>
      <c r="M21" s="59">
        <v>1148</v>
      </c>
      <c r="N21" s="42"/>
      <c r="O21" s="56">
        <v>1062</v>
      </c>
      <c r="P21" s="42">
        <v>1169</v>
      </c>
      <c r="Q21" s="56">
        <v>1323</v>
      </c>
      <c r="R21" s="42">
        <v>1017</v>
      </c>
      <c r="S21" s="56">
        <v>1004</v>
      </c>
      <c r="T21"/>
    </row>
    <row r="22" spans="1:20">
      <c r="A22" s="40" t="s">
        <v>52</v>
      </c>
      <c r="B22" s="42">
        <v>84</v>
      </c>
      <c r="C22" s="56">
        <v>159</v>
      </c>
      <c r="D22" s="42">
        <v>152</v>
      </c>
      <c r="E22" s="56">
        <v>145</v>
      </c>
      <c r="F22" s="42">
        <v>124</v>
      </c>
      <c r="G22" s="56">
        <v>144</v>
      </c>
      <c r="H22" s="42">
        <v>152</v>
      </c>
      <c r="I22" s="56">
        <v>117</v>
      </c>
      <c r="J22" s="42">
        <v>132</v>
      </c>
      <c r="K22" s="59">
        <v>110</v>
      </c>
      <c r="L22" s="60">
        <v>112</v>
      </c>
      <c r="M22" s="59">
        <v>90</v>
      </c>
      <c r="N22" s="42"/>
      <c r="O22" s="56">
        <v>100</v>
      </c>
      <c r="P22" s="42">
        <v>149</v>
      </c>
      <c r="Q22" s="56">
        <v>129</v>
      </c>
      <c r="R22" s="42">
        <v>93</v>
      </c>
      <c r="S22" s="56">
        <v>207</v>
      </c>
      <c r="T22"/>
    </row>
    <row r="23" spans="1:20">
      <c r="A23" s="40" t="s">
        <v>15</v>
      </c>
      <c r="B23" s="42">
        <v>82</v>
      </c>
      <c r="C23" s="56"/>
      <c r="D23" s="42"/>
      <c r="E23" s="56"/>
      <c r="F23" s="42"/>
      <c r="G23" s="56">
        <v>41</v>
      </c>
      <c r="H23" s="42">
        <v>44</v>
      </c>
      <c r="I23" s="56">
        <v>33</v>
      </c>
      <c r="J23" s="42"/>
      <c r="K23" s="61"/>
      <c r="L23" s="62"/>
      <c r="M23" s="59">
        <v>24</v>
      </c>
      <c r="N23" s="42"/>
      <c r="O23" s="56"/>
      <c r="P23" s="42">
        <v>52</v>
      </c>
      <c r="Q23" s="56">
        <v>78</v>
      </c>
      <c r="R23" s="42">
        <v>62</v>
      </c>
      <c r="S23" s="56">
        <v>78</v>
      </c>
      <c r="T23"/>
    </row>
    <row r="24" spans="1:20">
      <c r="A24" s="40" t="s">
        <v>16</v>
      </c>
      <c r="B24" s="42">
        <v>32</v>
      </c>
      <c r="C24" s="56">
        <v>6</v>
      </c>
      <c r="D24" s="42">
        <v>8</v>
      </c>
      <c r="E24" s="56"/>
      <c r="F24" s="42"/>
      <c r="G24" s="56"/>
      <c r="H24" s="42"/>
      <c r="I24" s="56"/>
      <c r="J24" s="42"/>
      <c r="K24" s="56"/>
      <c r="L24" s="42"/>
      <c r="M24" s="56"/>
      <c r="N24" s="42"/>
      <c r="O24" s="56"/>
      <c r="P24" s="42"/>
      <c r="Q24" s="56"/>
      <c r="R24" s="42"/>
      <c r="S24" s="56">
        <v>0</v>
      </c>
    </row>
    <row r="25" spans="1:20">
      <c r="A25" s="40" t="s">
        <v>17</v>
      </c>
      <c r="B25" s="42">
        <v>1967</v>
      </c>
      <c r="C25" s="56">
        <v>10181</v>
      </c>
      <c r="D25" s="42">
        <v>2672</v>
      </c>
      <c r="E25" s="56">
        <v>2367</v>
      </c>
      <c r="F25" s="42">
        <v>2810</v>
      </c>
      <c r="G25" s="56">
        <v>2754</v>
      </c>
      <c r="H25" s="42">
        <v>2851</v>
      </c>
      <c r="I25" s="56">
        <v>2800</v>
      </c>
      <c r="J25" s="42">
        <v>2685</v>
      </c>
      <c r="K25" s="59">
        <v>2796</v>
      </c>
      <c r="L25" s="60">
        <v>2861</v>
      </c>
      <c r="M25" s="59">
        <v>2979</v>
      </c>
      <c r="N25" s="42"/>
      <c r="O25" s="56">
        <v>2983</v>
      </c>
      <c r="P25" s="42">
        <v>3202</v>
      </c>
      <c r="Q25" s="56">
        <v>3808</v>
      </c>
      <c r="R25" s="42">
        <v>3356</v>
      </c>
      <c r="S25" s="56">
        <v>4303</v>
      </c>
      <c r="T25"/>
    </row>
    <row r="26" spans="1:20">
      <c r="A26" s="40" t="s">
        <v>18</v>
      </c>
      <c r="B26" s="42">
        <v>396</v>
      </c>
      <c r="C26" s="56">
        <v>310</v>
      </c>
      <c r="D26" s="42">
        <v>91</v>
      </c>
      <c r="E26" s="56">
        <v>64</v>
      </c>
      <c r="F26" s="42"/>
      <c r="G26" s="56"/>
      <c r="H26" s="42"/>
      <c r="I26" s="56"/>
      <c r="J26" s="42"/>
      <c r="K26" s="56"/>
      <c r="L26" s="42"/>
      <c r="M26" s="56"/>
      <c r="N26" s="42"/>
      <c r="O26" s="56"/>
      <c r="P26" s="42"/>
      <c r="Q26" s="56"/>
      <c r="R26" s="42"/>
      <c r="S26" s="56"/>
    </row>
    <row r="27" spans="1:20">
      <c r="A27" s="40" t="s">
        <v>19</v>
      </c>
      <c r="B27" s="42">
        <v>267</v>
      </c>
      <c r="C27" s="56">
        <v>340</v>
      </c>
      <c r="D27" s="42">
        <v>219</v>
      </c>
      <c r="E27" s="56">
        <v>282</v>
      </c>
      <c r="F27" s="42">
        <v>359</v>
      </c>
      <c r="G27" s="56">
        <v>584</v>
      </c>
      <c r="H27" s="42">
        <v>400</v>
      </c>
      <c r="I27" s="56">
        <v>454</v>
      </c>
      <c r="J27" s="42">
        <v>478</v>
      </c>
      <c r="K27" s="59">
        <v>603</v>
      </c>
      <c r="L27" s="60">
        <v>551</v>
      </c>
      <c r="M27" s="59">
        <v>621</v>
      </c>
      <c r="N27" s="42"/>
      <c r="O27" s="56">
        <v>1033</v>
      </c>
      <c r="P27" s="42">
        <v>718</v>
      </c>
      <c r="Q27" s="56">
        <v>1215</v>
      </c>
      <c r="R27" s="42">
        <v>1234</v>
      </c>
      <c r="S27" s="56">
        <v>1062</v>
      </c>
      <c r="T27"/>
    </row>
    <row r="28" spans="1:20">
      <c r="A28" s="40" t="s">
        <v>20</v>
      </c>
      <c r="B28" s="42">
        <v>5747</v>
      </c>
      <c r="C28" s="56">
        <v>5619</v>
      </c>
      <c r="D28" s="42">
        <v>6050</v>
      </c>
      <c r="E28" s="56">
        <v>6804</v>
      </c>
      <c r="F28" s="42">
        <v>6731</v>
      </c>
      <c r="G28" s="56">
        <v>6808</v>
      </c>
      <c r="H28" s="42">
        <v>7029</v>
      </c>
      <c r="I28" s="56">
        <v>5777</v>
      </c>
      <c r="J28" s="42">
        <v>6162</v>
      </c>
      <c r="K28" s="59">
        <v>5812</v>
      </c>
      <c r="L28" s="60">
        <v>5595</v>
      </c>
      <c r="M28" s="59">
        <v>5434</v>
      </c>
      <c r="N28" s="42"/>
      <c r="O28" s="56">
        <v>6122</v>
      </c>
      <c r="P28" s="42">
        <v>5975</v>
      </c>
      <c r="Q28" s="56">
        <v>5883</v>
      </c>
      <c r="R28" s="42">
        <v>5783</v>
      </c>
      <c r="S28" s="56">
        <v>6114</v>
      </c>
      <c r="T28"/>
    </row>
    <row r="29" spans="1:20">
      <c r="A29" s="40" t="s">
        <v>21</v>
      </c>
      <c r="B29" s="42">
        <v>7</v>
      </c>
      <c r="C29" s="56">
        <v>8</v>
      </c>
      <c r="D29" s="42">
        <v>7</v>
      </c>
      <c r="E29" s="56">
        <v>6</v>
      </c>
      <c r="F29" s="42">
        <v>7</v>
      </c>
      <c r="G29" s="56">
        <v>7</v>
      </c>
      <c r="H29" s="42">
        <v>9</v>
      </c>
      <c r="I29" s="56">
        <v>14</v>
      </c>
      <c r="J29" s="42">
        <v>11</v>
      </c>
      <c r="K29" s="59">
        <v>16</v>
      </c>
      <c r="L29" s="60">
        <v>20</v>
      </c>
      <c r="M29" s="59">
        <v>35</v>
      </c>
      <c r="N29" s="42"/>
      <c r="O29" s="56">
        <v>33</v>
      </c>
      <c r="P29" s="42">
        <v>26</v>
      </c>
      <c r="Q29" s="56">
        <v>32</v>
      </c>
      <c r="R29" s="42">
        <v>27</v>
      </c>
      <c r="S29" s="56">
        <v>63</v>
      </c>
      <c r="T29"/>
    </row>
    <row r="30" spans="1:20">
      <c r="A30" s="40" t="s">
        <v>48</v>
      </c>
      <c r="B30" s="42">
        <v>131</v>
      </c>
      <c r="C30" s="56">
        <v>146</v>
      </c>
      <c r="D30" s="42">
        <v>133</v>
      </c>
      <c r="E30" s="56">
        <v>167</v>
      </c>
      <c r="F30" s="42">
        <v>145</v>
      </c>
      <c r="G30" s="56">
        <v>152</v>
      </c>
      <c r="H30" s="42">
        <v>86</v>
      </c>
      <c r="I30" s="56">
        <v>89</v>
      </c>
      <c r="J30" s="42">
        <v>116</v>
      </c>
      <c r="K30" s="59">
        <v>106</v>
      </c>
      <c r="L30" s="60">
        <v>101</v>
      </c>
      <c r="M30" s="59">
        <v>109</v>
      </c>
      <c r="N30" s="42"/>
      <c r="O30" s="56">
        <v>115</v>
      </c>
      <c r="P30" s="42">
        <v>1127</v>
      </c>
      <c r="Q30" s="56">
        <v>163</v>
      </c>
      <c r="R30" s="42">
        <v>1237</v>
      </c>
      <c r="S30" s="56">
        <v>265</v>
      </c>
      <c r="T30"/>
    </row>
    <row r="31" spans="1:20">
      <c r="A31" s="40" t="s">
        <v>22</v>
      </c>
      <c r="B31" s="42">
        <v>923</v>
      </c>
      <c r="C31" s="56">
        <v>1150</v>
      </c>
      <c r="D31" s="42">
        <v>590</v>
      </c>
      <c r="E31" s="56">
        <v>781</v>
      </c>
      <c r="F31" s="42">
        <v>841</v>
      </c>
      <c r="G31" s="56">
        <v>867</v>
      </c>
      <c r="H31" s="42">
        <v>779</v>
      </c>
      <c r="I31" s="56">
        <v>847</v>
      </c>
      <c r="J31" s="42">
        <v>821</v>
      </c>
      <c r="K31" s="59">
        <v>834</v>
      </c>
      <c r="L31" s="60">
        <v>891</v>
      </c>
      <c r="M31" s="59">
        <v>928</v>
      </c>
      <c r="N31" s="42"/>
      <c r="O31" s="56">
        <v>986</v>
      </c>
      <c r="P31" s="42">
        <v>362</v>
      </c>
      <c r="Q31" s="56">
        <v>1237</v>
      </c>
      <c r="R31" s="42">
        <v>232</v>
      </c>
      <c r="S31" s="56">
        <v>1459</v>
      </c>
      <c r="T31"/>
    </row>
    <row r="32" spans="1:20">
      <c r="A32" s="40" t="s">
        <v>23</v>
      </c>
      <c r="B32" s="42">
        <v>212</v>
      </c>
      <c r="C32" s="56">
        <v>278</v>
      </c>
      <c r="D32" s="42">
        <v>322</v>
      </c>
      <c r="E32" s="56">
        <v>330</v>
      </c>
      <c r="F32" s="42">
        <v>345</v>
      </c>
      <c r="G32" s="56">
        <v>345</v>
      </c>
      <c r="H32" s="42">
        <v>259</v>
      </c>
      <c r="I32" s="56">
        <v>258</v>
      </c>
      <c r="J32" s="42">
        <v>212</v>
      </c>
      <c r="K32" s="59">
        <v>144</v>
      </c>
      <c r="L32" s="60">
        <v>172</v>
      </c>
      <c r="M32" s="59">
        <v>157</v>
      </c>
      <c r="N32" s="42"/>
      <c r="O32" s="56">
        <v>270</v>
      </c>
      <c r="P32" s="42">
        <v>249</v>
      </c>
      <c r="Q32" s="56">
        <v>465</v>
      </c>
      <c r="R32" s="42">
        <v>325</v>
      </c>
      <c r="S32" s="56">
        <v>325</v>
      </c>
      <c r="T32"/>
    </row>
    <row r="33" spans="1:20">
      <c r="A33" s="40" t="s">
        <v>24</v>
      </c>
      <c r="B33" s="42">
        <v>199</v>
      </c>
      <c r="C33" s="56">
        <v>228</v>
      </c>
      <c r="D33" s="42">
        <v>246</v>
      </c>
      <c r="E33" s="56">
        <v>247</v>
      </c>
      <c r="F33" s="42">
        <v>244</v>
      </c>
      <c r="G33" s="56">
        <v>237</v>
      </c>
      <c r="H33" s="42">
        <v>223</v>
      </c>
      <c r="I33" s="56">
        <v>229</v>
      </c>
      <c r="J33" s="42">
        <v>204</v>
      </c>
      <c r="K33" s="59">
        <v>200</v>
      </c>
      <c r="L33" s="60">
        <v>235</v>
      </c>
      <c r="M33" s="59">
        <v>257</v>
      </c>
      <c r="N33" s="42"/>
      <c r="O33" s="56">
        <v>239</v>
      </c>
      <c r="P33" s="42">
        <v>110</v>
      </c>
      <c r="Q33" s="56">
        <v>321</v>
      </c>
      <c r="R33" s="42">
        <v>98</v>
      </c>
      <c r="S33" s="56">
        <v>332</v>
      </c>
      <c r="T33"/>
    </row>
    <row r="34" spans="1:20">
      <c r="A34" s="40" t="s">
        <v>25</v>
      </c>
      <c r="B34" s="42">
        <v>258</v>
      </c>
      <c r="C34" s="56">
        <v>240</v>
      </c>
      <c r="D34" s="42">
        <v>304</v>
      </c>
      <c r="E34" s="56">
        <v>336</v>
      </c>
      <c r="F34" s="42">
        <v>352</v>
      </c>
      <c r="G34" s="56">
        <v>379</v>
      </c>
      <c r="H34" s="42">
        <v>363</v>
      </c>
      <c r="I34" s="56">
        <v>377</v>
      </c>
      <c r="J34" s="42">
        <v>336</v>
      </c>
      <c r="K34" s="59">
        <v>323</v>
      </c>
      <c r="L34" s="60">
        <v>371</v>
      </c>
      <c r="M34" s="59">
        <v>471</v>
      </c>
      <c r="N34" s="42"/>
      <c r="O34" s="56">
        <v>386</v>
      </c>
      <c r="P34" s="42">
        <v>376</v>
      </c>
      <c r="Q34" s="56">
        <v>353</v>
      </c>
      <c r="R34" s="42">
        <v>375</v>
      </c>
      <c r="S34" s="56">
        <v>354</v>
      </c>
      <c r="T34"/>
    </row>
    <row r="35" spans="1:20">
      <c r="A35" s="40" t="s">
        <v>26</v>
      </c>
      <c r="B35" s="42">
        <v>36</v>
      </c>
      <c r="C35" s="56">
        <v>23</v>
      </c>
      <c r="D35" s="42">
        <v>29</v>
      </c>
      <c r="E35" s="56">
        <v>41</v>
      </c>
      <c r="F35" s="42">
        <v>13</v>
      </c>
      <c r="G35" s="56">
        <v>16</v>
      </c>
      <c r="H35" s="42">
        <v>16</v>
      </c>
      <c r="I35" s="56">
        <v>20</v>
      </c>
      <c r="J35" s="42">
        <v>19</v>
      </c>
      <c r="K35" s="59">
        <v>23</v>
      </c>
      <c r="L35" s="60">
        <v>47</v>
      </c>
      <c r="M35" s="59">
        <v>33</v>
      </c>
      <c r="N35" s="42"/>
      <c r="O35" s="56">
        <v>60</v>
      </c>
      <c r="P35" s="42">
        <v>58</v>
      </c>
      <c r="Q35" s="56">
        <v>63</v>
      </c>
      <c r="R35" s="42">
        <v>56</v>
      </c>
      <c r="S35" s="56">
        <v>137</v>
      </c>
      <c r="T35"/>
    </row>
    <row r="36" spans="1:20">
      <c r="A36" s="40" t="s">
        <v>27</v>
      </c>
      <c r="B36" s="42">
        <v>8508</v>
      </c>
      <c r="C36" s="56">
        <v>8721</v>
      </c>
      <c r="D36" s="42">
        <v>8296</v>
      </c>
      <c r="E36" s="56">
        <v>8974</v>
      </c>
      <c r="F36" s="42">
        <v>7946</v>
      </c>
      <c r="G36" s="56">
        <v>8116</v>
      </c>
      <c r="H36" s="42">
        <v>8284</v>
      </c>
      <c r="I36" s="56">
        <v>8552</v>
      </c>
      <c r="J36" s="42">
        <v>7959</v>
      </c>
      <c r="K36" s="59">
        <v>8528</v>
      </c>
      <c r="L36" s="60">
        <v>8850</v>
      </c>
      <c r="M36" s="59">
        <v>9156</v>
      </c>
      <c r="N36" s="42"/>
      <c r="O36" s="56">
        <v>9670</v>
      </c>
      <c r="P36" s="42">
        <v>9747</v>
      </c>
      <c r="Q36" s="56">
        <v>9948</v>
      </c>
      <c r="R36" s="42">
        <v>10205</v>
      </c>
      <c r="S36" s="56">
        <v>12687</v>
      </c>
      <c r="T36"/>
    </row>
    <row r="37" spans="1:20">
      <c r="A37" s="40" t="s">
        <v>28</v>
      </c>
      <c r="B37" s="42">
        <v>3</v>
      </c>
      <c r="C37" s="56">
        <v>3</v>
      </c>
      <c r="D37" s="42">
        <v>2</v>
      </c>
      <c r="E37" s="56">
        <v>1</v>
      </c>
      <c r="F37" s="42">
        <v>2</v>
      </c>
      <c r="G37" s="56">
        <v>1</v>
      </c>
      <c r="H37" s="42">
        <v>3</v>
      </c>
      <c r="I37" s="56">
        <v>2</v>
      </c>
      <c r="J37" s="42">
        <v>3</v>
      </c>
      <c r="K37" s="59">
        <v>3</v>
      </c>
      <c r="L37" s="60">
        <v>9</v>
      </c>
      <c r="M37" s="59">
        <v>9</v>
      </c>
      <c r="N37" s="42"/>
      <c r="O37" s="56">
        <v>10</v>
      </c>
      <c r="P37" s="42">
        <v>14</v>
      </c>
      <c r="Q37" s="56">
        <v>14</v>
      </c>
      <c r="R37" s="42">
        <v>5</v>
      </c>
      <c r="S37" s="56">
        <v>10</v>
      </c>
      <c r="T37"/>
    </row>
    <row r="38" spans="1:20">
      <c r="A38" s="40" t="s">
        <v>29</v>
      </c>
      <c r="B38" s="42">
        <v>443</v>
      </c>
      <c r="C38" s="56">
        <v>390</v>
      </c>
      <c r="D38" s="42">
        <v>427</v>
      </c>
      <c r="E38" s="56">
        <v>609</v>
      </c>
      <c r="F38" s="42">
        <v>582</v>
      </c>
      <c r="G38" s="56">
        <v>570</v>
      </c>
      <c r="H38" s="42">
        <v>554</v>
      </c>
      <c r="I38" s="56">
        <v>931</v>
      </c>
      <c r="J38" s="42">
        <v>925</v>
      </c>
      <c r="K38" s="59">
        <v>799</v>
      </c>
      <c r="L38" s="60">
        <v>854</v>
      </c>
      <c r="M38" s="59">
        <v>954</v>
      </c>
      <c r="N38" s="42"/>
      <c r="O38" s="56">
        <v>1545</v>
      </c>
      <c r="P38" s="42">
        <v>1472</v>
      </c>
      <c r="Q38" s="56">
        <v>1453</v>
      </c>
      <c r="R38" s="42">
        <v>1341</v>
      </c>
      <c r="S38" s="56">
        <v>1422</v>
      </c>
      <c r="T38"/>
    </row>
    <row r="39" spans="1:20">
      <c r="A39" s="40" t="s">
        <v>53</v>
      </c>
      <c r="B39" s="42">
        <v>0</v>
      </c>
      <c r="C39" s="56">
        <v>657</v>
      </c>
      <c r="D39" s="42">
        <v>720</v>
      </c>
      <c r="E39" s="56">
        <v>735</v>
      </c>
      <c r="F39" s="42">
        <v>824</v>
      </c>
      <c r="G39" s="56">
        <v>808</v>
      </c>
      <c r="H39" s="42">
        <v>855</v>
      </c>
      <c r="I39" s="56">
        <v>872</v>
      </c>
      <c r="J39" s="42">
        <v>909</v>
      </c>
      <c r="K39" s="59">
        <v>1113</v>
      </c>
      <c r="L39" s="60">
        <v>1118</v>
      </c>
      <c r="M39" s="59">
        <v>1096</v>
      </c>
      <c r="N39" s="42"/>
      <c r="O39" s="56">
        <v>1074</v>
      </c>
      <c r="P39" s="42">
        <v>1119</v>
      </c>
      <c r="Q39" s="56">
        <v>1796</v>
      </c>
      <c r="R39" s="42">
        <v>1634</v>
      </c>
      <c r="S39" s="56">
        <v>1611</v>
      </c>
      <c r="T39"/>
    </row>
    <row r="40" spans="1:20">
      <c r="A40" s="40" t="s">
        <v>30</v>
      </c>
      <c r="B40" s="42">
        <v>211</v>
      </c>
      <c r="C40" s="56">
        <v>217</v>
      </c>
      <c r="D40" s="42">
        <v>222</v>
      </c>
      <c r="E40" s="56">
        <v>204</v>
      </c>
      <c r="F40" s="42">
        <v>190</v>
      </c>
      <c r="G40" s="56">
        <v>171</v>
      </c>
      <c r="H40" s="42">
        <v>118</v>
      </c>
      <c r="I40" s="56">
        <v>136</v>
      </c>
      <c r="J40" s="42">
        <v>127</v>
      </c>
      <c r="K40" s="59">
        <v>156</v>
      </c>
      <c r="L40" s="60">
        <v>131</v>
      </c>
      <c r="M40" s="59">
        <v>137</v>
      </c>
      <c r="N40" s="42"/>
      <c r="O40" s="56">
        <v>120</v>
      </c>
      <c r="P40" s="42">
        <v>168</v>
      </c>
      <c r="Q40" s="56">
        <v>189</v>
      </c>
      <c r="R40" s="42">
        <v>208</v>
      </c>
      <c r="S40" s="56">
        <v>376</v>
      </c>
      <c r="T40"/>
    </row>
    <row r="41" spans="1:20">
      <c r="A41" s="40" t="s">
        <v>31</v>
      </c>
      <c r="B41" s="42">
        <v>58</v>
      </c>
      <c r="C41" s="56">
        <v>74</v>
      </c>
      <c r="D41" s="42">
        <v>95</v>
      </c>
      <c r="E41" s="56">
        <v>117</v>
      </c>
      <c r="F41" s="42">
        <v>99</v>
      </c>
      <c r="G41" s="56">
        <v>151</v>
      </c>
      <c r="H41" s="42">
        <v>159</v>
      </c>
      <c r="I41" s="56">
        <v>153</v>
      </c>
      <c r="J41" s="42">
        <v>159</v>
      </c>
      <c r="K41" s="59">
        <v>139</v>
      </c>
      <c r="L41" s="60">
        <v>160</v>
      </c>
      <c r="M41" s="59">
        <v>171</v>
      </c>
      <c r="N41" s="42"/>
      <c r="O41" s="56">
        <v>170</v>
      </c>
      <c r="P41" s="42">
        <v>208</v>
      </c>
      <c r="Q41" s="56">
        <v>192</v>
      </c>
      <c r="R41" s="42">
        <v>263</v>
      </c>
      <c r="S41" s="56">
        <v>282</v>
      </c>
      <c r="T41"/>
    </row>
    <row r="42" spans="1:20">
      <c r="A42" s="40" t="s">
        <v>32</v>
      </c>
      <c r="B42" s="42"/>
      <c r="C42" s="56">
        <v>120</v>
      </c>
      <c r="D42" s="42">
        <v>137</v>
      </c>
      <c r="E42" s="56">
        <v>119</v>
      </c>
      <c r="F42" s="42">
        <v>68</v>
      </c>
      <c r="G42" s="56">
        <v>155</v>
      </c>
      <c r="H42" s="42">
        <v>64</v>
      </c>
      <c r="I42" s="56">
        <v>71</v>
      </c>
      <c r="J42" s="42">
        <v>60</v>
      </c>
      <c r="K42" s="59">
        <v>50</v>
      </c>
      <c r="L42" s="60">
        <v>52</v>
      </c>
      <c r="M42" s="59">
        <v>43</v>
      </c>
      <c r="N42" s="42"/>
      <c r="O42" s="56">
        <v>39</v>
      </c>
      <c r="P42" s="42">
        <v>45</v>
      </c>
      <c r="Q42" s="56">
        <v>54</v>
      </c>
      <c r="R42" s="42">
        <v>55</v>
      </c>
      <c r="S42" s="56">
        <v>41</v>
      </c>
      <c r="T42"/>
    </row>
    <row r="43" spans="1:20">
      <c r="A43" s="40" t="s">
        <v>33</v>
      </c>
      <c r="B43" s="42">
        <v>48</v>
      </c>
      <c r="C43" s="56">
        <v>62</v>
      </c>
      <c r="D43" s="42">
        <v>61</v>
      </c>
      <c r="E43" s="56">
        <v>65</v>
      </c>
      <c r="F43" s="42">
        <v>67</v>
      </c>
      <c r="G43" s="56">
        <v>73</v>
      </c>
      <c r="H43" s="42">
        <v>51</v>
      </c>
      <c r="I43" s="56">
        <v>47</v>
      </c>
      <c r="J43" s="42">
        <v>47</v>
      </c>
      <c r="K43" s="59">
        <v>37</v>
      </c>
      <c r="L43" s="60">
        <v>37</v>
      </c>
      <c r="M43" s="59">
        <v>32</v>
      </c>
      <c r="N43" s="42"/>
      <c r="O43" s="56">
        <v>24</v>
      </c>
      <c r="P43" s="42">
        <v>28</v>
      </c>
      <c r="Q43" s="56">
        <v>27</v>
      </c>
      <c r="R43" s="42">
        <v>35</v>
      </c>
      <c r="S43" s="56">
        <v>36</v>
      </c>
      <c r="T43"/>
    </row>
    <row r="44" spans="1:20">
      <c r="A44" s="40" t="s">
        <v>34</v>
      </c>
      <c r="B44" s="42">
        <v>123</v>
      </c>
      <c r="C44" s="56">
        <v>138</v>
      </c>
      <c r="D44" s="42">
        <v>153</v>
      </c>
      <c r="E44" s="56">
        <v>125</v>
      </c>
      <c r="F44" s="42">
        <v>119</v>
      </c>
      <c r="G44" s="56">
        <v>113</v>
      </c>
      <c r="H44" s="42">
        <v>108</v>
      </c>
      <c r="I44" s="56">
        <v>166</v>
      </c>
      <c r="J44" s="42">
        <v>135</v>
      </c>
      <c r="K44" s="59">
        <v>142</v>
      </c>
      <c r="L44" s="60">
        <v>189</v>
      </c>
      <c r="M44" s="59">
        <v>211</v>
      </c>
      <c r="N44" s="42"/>
      <c r="O44" s="56">
        <v>277</v>
      </c>
      <c r="P44" s="42">
        <v>270</v>
      </c>
      <c r="Q44" s="56">
        <v>203</v>
      </c>
      <c r="R44" s="42">
        <v>251</v>
      </c>
      <c r="S44" s="56">
        <v>284</v>
      </c>
      <c r="T44"/>
    </row>
    <row r="45" spans="1:20">
      <c r="A45" s="40" t="s">
        <v>35</v>
      </c>
      <c r="B45" s="42">
        <v>168</v>
      </c>
      <c r="C45" s="56">
        <v>286</v>
      </c>
      <c r="D45" s="42">
        <v>335</v>
      </c>
      <c r="E45" s="56">
        <v>291</v>
      </c>
      <c r="F45" s="42">
        <v>308</v>
      </c>
      <c r="G45" s="56">
        <v>333</v>
      </c>
      <c r="H45" s="42">
        <v>336</v>
      </c>
      <c r="I45" s="56">
        <v>373</v>
      </c>
      <c r="J45" s="42">
        <v>384</v>
      </c>
      <c r="K45" s="59">
        <v>414</v>
      </c>
      <c r="L45" s="60">
        <v>465</v>
      </c>
      <c r="M45" s="59">
        <v>503</v>
      </c>
      <c r="N45" s="42"/>
      <c r="O45" s="56">
        <v>576</v>
      </c>
      <c r="P45" s="42">
        <v>709</v>
      </c>
      <c r="Q45" s="56">
        <v>753</v>
      </c>
      <c r="R45" s="42">
        <v>843</v>
      </c>
      <c r="S45" s="56"/>
      <c r="T45"/>
    </row>
    <row r="46" spans="1:20">
      <c r="A46" s="40" t="s">
        <v>36</v>
      </c>
      <c r="B46" s="42">
        <v>148</v>
      </c>
      <c r="C46" s="56">
        <v>142</v>
      </c>
      <c r="D46" s="42">
        <v>127</v>
      </c>
      <c r="E46" s="56">
        <v>151</v>
      </c>
      <c r="F46" s="42">
        <v>159</v>
      </c>
      <c r="G46" s="56">
        <v>151</v>
      </c>
      <c r="H46" s="42">
        <v>134</v>
      </c>
      <c r="I46" s="56">
        <v>144</v>
      </c>
      <c r="J46" s="42">
        <v>138</v>
      </c>
      <c r="K46" s="59">
        <v>139</v>
      </c>
      <c r="L46" s="60">
        <v>131</v>
      </c>
      <c r="M46" s="59">
        <v>145</v>
      </c>
      <c r="N46" s="42"/>
      <c r="O46" s="56">
        <v>230</v>
      </c>
      <c r="P46" s="42">
        <v>277</v>
      </c>
      <c r="Q46" s="56">
        <v>290</v>
      </c>
      <c r="R46" s="42">
        <v>302</v>
      </c>
      <c r="S46" s="56">
        <v>409</v>
      </c>
      <c r="T46"/>
    </row>
    <row r="47" spans="1:20">
      <c r="A47" s="40" t="s">
        <v>37</v>
      </c>
      <c r="B47" s="42">
        <v>2</v>
      </c>
      <c r="C47" s="56">
        <v>0</v>
      </c>
      <c r="D47" s="42">
        <v>3</v>
      </c>
      <c r="E47" s="56">
        <v>1</v>
      </c>
      <c r="F47" s="42">
        <v>5</v>
      </c>
      <c r="G47" s="56">
        <v>6</v>
      </c>
      <c r="H47" s="42">
        <v>5</v>
      </c>
      <c r="I47" s="56">
        <v>4</v>
      </c>
      <c r="J47" s="42">
        <v>3</v>
      </c>
      <c r="K47" s="59">
        <v>7</v>
      </c>
      <c r="L47" s="60">
        <v>17</v>
      </c>
      <c r="M47" s="59">
        <v>28</v>
      </c>
      <c r="N47" s="42"/>
      <c r="O47" s="56">
        <v>33</v>
      </c>
      <c r="P47" s="42">
        <v>42</v>
      </c>
      <c r="Q47" s="56">
        <v>30</v>
      </c>
      <c r="R47" s="42">
        <v>28</v>
      </c>
      <c r="S47" s="56">
        <v>31</v>
      </c>
      <c r="T47"/>
    </row>
    <row r="48" spans="1:20">
      <c r="A48" s="40" t="s">
        <v>38</v>
      </c>
      <c r="B48" s="42">
        <v>219</v>
      </c>
      <c r="C48" s="56">
        <v>201</v>
      </c>
      <c r="D48" s="42">
        <v>287</v>
      </c>
      <c r="E48" s="56">
        <v>294</v>
      </c>
      <c r="F48" s="42">
        <v>284</v>
      </c>
      <c r="G48" s="56">
        <v>232</v>
      </c>
      <c r="H48" s="42">
        <v>320</v>
      </c>
      <c r="I48" s="56">
        <v>352</v>
      </c>
      <c r="J48" s="42">
        <v>290</v>
      </c>
      <c r="K48" s="59">
        <v>443</v>
      </c>
      <c r="L48" s="60">
        <v>516</v>
      </c>
      <c r="M48" s="59">
        <v>571</v>
      </c>
      <c r="N48" s="42"/>
      <c r="O48" s="56">
        <v>687</v>
      </c>
      <c r="P48" s="42">
        <v>562</v>
      </c>
      <c r="Q48" s="56">
        <v>565</v>
      </c>
      <c r="R48" s="42">
        <v>664</v>
      </c>
      <c r="S48" s="56">
        <v>699</v>
      </c>
      <c r="T48"/>
    </row>
    <row r="49" spans="1:20">
      <c r="A49" s="40" t="s">
        <v>39</v>
      </c>
      <c r="B49" s="42">
        <v>123</v>
      </c>
      <c r="C49" s="56">
        <v>216</v>
      </c>
      <c r="D49" s="42">
        <v>178</v>
      </c>
      <c r="E49" s="56">
        <v>175</v>
      </c>
      <c r="F49" s="42">
        <v>123</v>
      </c>
      <c r="G49" s="56">
        <v>81</v>
      </c>
      <c r="H49" s="42">
        <v>154</v>
      </c>
      <c r="I49" s="56">
        <v>127</v>
      </c>
      <c r="J49" s="42">
        <v>166</v>
      </c>
      <c r="K49" s="59">
        <v>121</v>
      </c>
      <c r="L49" s="60">
        <v>210</v>
      </c>
      <c r="M49" s="59">
        <v>172</v>
      </c>
      <c r="N49" s="42"/>
      <c r="O49" s="56">
        <v>148</v>
      </c>
      <c r="P49" s="42">
        <v>195</v>
      </c>
      <c r="Q49" s="56">
        <v>159</v>
      </c>
      <c r="R49" s="42">
        <v>153</v>
      </c>
      <c r="S49" s="56">
        <v>198</v>
      </c>
      <c r="T49"/>
    </row>
    <row r="50" spans="1:20">
      <c r="A50" s="40" t="s">
        <v>40</v>
      </c>
      <c r="B50" s="42">
        <v>294</v>
      </c>
      <c r="C50" s="56">
        <v>375</v>
      </c>
      <c r="D50" s="42">
        <v>533</v>
      </c>
      <c r="E50" s="56">
        <v>368</v>
      </c>
      <c r="F50" s="42">
        <v>351</v>
      </c>
      <c r="G50" s="56">
        <v>328</v>
      </c>
      <c r="H50" s="42">
        <v>304</v>
      </c>
      <c r="I50" s="56">
        <v>319</v>
      </c>
      <c r="J50" s="42">
        <v>429</v>
      </c>
      <c r="K50" s="59">
        <v>325</v>
      </c>
      <c r="L50" s="60">
        <v>164</v>
      </c>
      <c r="M50" s="59">
        <v>189</v>
      </c>
      <c r="N50" s="42"/>
      <c r="O50" s="56">
        <v>230</v>
      </c>
      <c r="P50" s="42">
        <v>260</v>
      </c>
      <c r="Q50" s="56">
        <v>349</v>
      </c>
      <c r="R50" s="42">
        <v>204</v>
      </c>
      <c r="S50" s="56">
        <v>315</v>
      </c>
      <c r="T50"/>
    </row>
    <row r="51" spans="1:20">
      <c r="A51" s="40" t="s">
        <v>41</v>
      </c>
      <c r="B51" s="42"/>
      <c r="C51" s="56">
        <v>37</v>
      </c>
      <c r="D51" s="42">
        <v>30</v>
      </c>
      <c r="E51" s="56">
        <v>49</v>
      </c>
      <c r="F51" s="42">
        <v>39</v>
      </c>
      <c r="G51" s="56">
        <v>48</v>
      </c>
      <c r="H51" s="42">
        <v>33</v>
      </c>
      <c r="I51" s="56">
        <v>20</v>
      </c>
      <c r="J51" s="42">
        <v>24</v>
      </c>
      <c r="K51" s="59">
        <v>27</v>
      </c>
      <c r="L51" s="60">
        <v>39</v>
      </c>
      <c r="M51" s="59">
        <v>35</v>
      </c>
      <c r="N51" s="42"/>
      <c r="O51" s="56">
        <v>45</v>
      </c>
      <c r="P51" s="42">
        <v>58</v>
      </c>
      <c r="Q51" s="56">
        <v>64</v>
      </c>
      <c r="R51" s="42">
        <v>39</v>
      </c>
      <c r="S51" s="56">
        <v>45</v>
      </c>
      <c r="T51"/>
    </row>
    <row r="52" spans="1:20">
      <c r="A52" s="40" t="s">
        <v>42</v>
      </c>
      <c r="B52" s="42">
        <v>96</v>
      </c>
      <c r="C52" s="56">
        <v>98</v>
      </c>
      <c r="D52" s="42">
        <v>96</v>
      </c>
      <c r="E52" s="56">
        <v>89</v>
      </c>
      <c r="F52" s="42">
        <v>93</v>
      </c>
      <c r="G52" s="56">
        <v>101</v>
      </c>
      <c r="H52" s="42">
        <v>97</v>
      </c>
      <c r="I52" s="56">
        <v>109</v>
      </c>
      <c r="J52" s="42">
        <v>130</v>
      </c>
      <c r="K52" s="59">
        <v>156</v>
      </c>
      <c r="L52" s="62"/>
      <c r="M52" s="59">
        <v>126</v>
      </c>
      <c r="N52" s="42"/>
      <c r="O52" s="56">
        <v>166</v>
      </c>
      <c r="P52" s="42">
        <v>157</v>
      </c>
      <c r="Q52" s="56">
        <v>148</v>
      </c>
      <c r="R52" s="42">
        <v>154</v>
      </c>
      <c r="S52" s="56">
        <v>188</v>
      </c>
      <c r="T52"/>
    </row>
    <row r="53" spans="1:20">
      <c r="A53" s="40" t="s">
        <v>43</v>
      </c>
      <c r="B53" s="42">
        <v>179</v>
      </c>
      <c r="C53" s="56">
        <v>150</v>
      </c>
      <c r="D53" s="42">
        <v>180</v>
      </c>
      <c r="E53" s="56">
        <v>174</v>
      </c>
      <c r="F53" s="42">
        <v>207</v>
      </c>
      <c r="G53" s="56">
        <v>212</v>
      </c>
      <c r="H53" s="42">
        <v>212</v>
      </c>
      <c r="I53" s="56">
        <v>192</v>
      </c>
      <c r="J53" s="42">
        <v>130</v>
      </c>
      <c r="K53" s="59">
        <v>181</v>
      </c>
      <c r="L53" s="60">
        <v>181</v>
      </c>
      <c r="M53" s="59">
        <v>163</v>
      </c>
      <c r="N53" s="42"/>
      <c r="O53" s="56">
        <v>188</v>
      </c>
      <c r="P53" s="42">
        <v>164</v>
      </c>
      <c r="Q53" s="56">
        <v>233</v>
      </c>
      <c r="R53" s="42">
        <v>233</v>
      </c>
      <c r="S53" s="56">
        <v>295</v>
      </c>
      <c r="T53"/>
    </row>
    <row r="54" spans="1:20">
      <c r="A54" s="40" t="s">
        <v>44</v>
      </c>
      <c r="B54" s="42">
        <v>91</v>
      </c>
      <c r="C54" s="56">
        <v>81</v>
      </c>
      <c r="D54" s="42">
        <v>117</v>
      </c>
      <c r="E54" s="56">
        <v>128</v>
      </c>
      <c r="F54" s="42">
        <v>117</v>
      </c>
      <c r="G54" s="56">
        <v>131</v>
      </c>
      <c r="H54" s="42">
        <v>145</v>
      </c>
      <c r="I54" s="56">
        <v>170</v>
      </c>
      <c r="J54" s="42">
        <v>235</v>
      </c>
      <c r="K54" s="59">
        <v>254</v>
      </c>
      <c r="L54" s="60">
        <v>271</v>
      </c>
      <c r="M54" s="59">
        <v>264</v>
      </c>
      <c r="N54" s="42"/>
      <c r="O54" s="56">
        <v>272</v>
      </c>
      <c r="P54" s="42">
        <v>319</v>
      </c>
      <c r="Q54" s="56">
        <v>282</v>
      </c>
      <c r="R54" s="42">
        <v>243</v>
      </c>
      <c r="S54" s="153">
        <v>0</v>
      </c>
      <c r="T54"/>
    </row>
    <row r="55" spans="1:20">
      <c r="A55" s="40" t="s">
        <v>45</v>
      </c>
      <c r="B55" s="42">
        <v>181</v>
      </c>
      <c r="C55" s="56">
        <v>214</v>
      </c>
      <c r="D55" s="42">
        <v>253</v>
      </c>
      <c r="E55" s="56">
        <v>240</v>
      </c>
      <c r="F55" s="42">
        <v>264</v>
      </c>
      <c r="G55" s="56">
        <v>222</v>
      </c>
      <c r="H55" s="42">
        <v>251</v>
      </c>
      <c r="I55" s="56">
        <v>222</v>
      </c>
      <c r="J55" s="42">
        <v>239</v>
      </c>
      <c r="K55" s="59">
        <v>220</v>
      </c>
      <c r="L55" s="60">
        <v>238</v>
      </c>
      <c r="M55" s="59">
        <v>277</v>
      </c>
      <c r="N55" s="42"/>
      <c r="O55" s="56">
        <v>276</v>
      </c>
      <c r="P55" s="42">
        <v>294</v>
      </c>
      <c r="Q55" s="56">
        <v>333</v>
      </c>
      <c r="R55" s="42">
        <v>332</v>
      </c>
      <c r="S55" s="56">
        <v>315</v>
      </c>
      <c r="T55"/>
    </row>
    <row r="56" spans="1:20">
      <c r="A56" s="40" t="s">
        <v>46</v>
      </c>
      <c r="B56" s="42">
        <v>397</v>
      </c>
      <c r="C56" s="56">
        <v>296</v>
      </c>
      <c r="D56" s="42">
        <v>306</v>
      </c>
      <c r="E56" s="56">
        <v>289</v>
      </c>
      <c r="F56" s="42">
        <v>474</v>
      </c>
      <c r="G56" s="56">
        <v>332</v>
      </c>
      <c r="H56" s="42">
        <v>519</v>
      </c>
      <c r="I56" s="56">
        <v>644</v>
      </c>
      <c r="J56" s="42">
        <v>1077</v>
      </c>
      <c r="K56" s="59">
        <v>742</v>
      </c>
      <c r="L56" s="60">
        <v>691</v>
      </c>
      <c r="M56" s="59">
        <v>797</v>
      </c>
      <c r="N56" s="42"/>
      <c r="O56" s="56">
        <v>814</v>
      </c>
      <c r="P56" s="42">
        <v>825</v>
      </c>
      <c r="Q56" s="56">
        <v>782</v>
      </c>
      <c r="R56" s="42">
        <v>784</v>
      </c>
      <c r="S56" s="56">
        <v>1485</v>
      </c>
      <c r="T56"/>
    </row>
    <row r="57" spans="1:20">
      <c r="A57" s="12"/>
      <c r="B57" s="32">
        <f>SUM(B7:B56)</f>
        <v>28256</v>
      </c>
      <c r="C57" s="32">
        <f t="shared" ref="C57:R57" si="0">SUM(C7:C56)</f>
        <v>39043</v>
      </c>
      <c r="D57" s="32">
        <f t="shared" si="0"/>
        <v>31698</v>
      </c>
      <c r="E57" s="32">
        <f t="shared" si="0"/>
        <v>33856</v>
      </c>
      <c r="F57" s="32">
        <f t="shared" si="0"/>
        <v>32982</v>
      </c>
      <c r="G57" s="32">
        <f t="shared" si="0"/>
        <v>33670</v>
      </c>
      <c r="H57" s="32">
        <f t="shared" si="0"/>
        <v>34290</v>
      </c>
      <c r="I57" s="32">
        <f t="shared" si="0"/>
        <v>32338</v>
      </c>
      <c r="J57" s="32">
        <f t="shared" si="0"/>
        <v>32466</v>
      </c>
      <c r="K57" s="32">
        <f t="shared" si="0"/>
        <v>32787</v>
      </c>
      <c r="L57" s="32">
        <f t="shared" si="0"/>
        <v>33450</v>
      </c>
      <c r="M57" s="32">
        <f t="shared" si="0"/>
        <v>34794</v>
      </c>
      <c r="N57" s="32">
        <f t="shared" si="0"/>
        <v>0</v>
      </c>
      <c r="O57" s="32">
        <f t="shared" si="0"/>
        <v>37798</v>
      </c>
      <c r="P57" s="32">
        <f t="shared" si="0"/>
        <v>38548</v>
      </c>
      <c r="Q57" s="32">
        <f t="shared" si="0"/>
        <v>41782</v>
      </c>
      <c r="R57" s="32">
        <f t="shared" si="0"/>
        <v>40624</v>
      </c>
      <c r="S57" s="32">
        <f t="shared" ref="S57" si="1">SUM(S7:S56)</f>
        <v>45684</v>
      </c>
    </row>
    <row r="58" spans="1:20">
      <c r="A58" s="116" t="s">
        <v>135</v>
      </c>
      <c r="B58" s="117">
        <v>21.75</v>
      </c>
      <c r="C58" s="118">
        <v>21.45</v>
      </c>
      <c r="D58" s="118">
        <v>21.59</v>
      </c>
      <c r="E58" s="118">
        <v>23.3</v>
      </c>
      <c r="F58" s="118">
        <v>20.21</v>
      </c>
      <c r="G58" s="118">
        <v>20.56</v>
      </c>
      <c r="H58" s="118">
        <v>20.420000000000002</v>
      </c>
      <c r="I58" s="118">
        <v>19.82</v>
      </c>
      <c r="J58" s="118">
        <v>20.309999999999999</v>
      </c>
      <c r="K58" s="119">
        <v>20.18</v>
      </c>
      <c r="L58" s="120">
        <v>20.399999999999999</v>
      </c>
      <c r="M58" s="120">
        <v>21.01</v>
      </c>
      <c r="N58" s="120"/>
      <c r="O58" s="120">
        <f>'2018'!E52</f>
        <v>22.186612195064686</v>
      </c>
      <c r="P58" s="120">
        <f>'2019'!E53</f>
        <v>21.98404959253326</v>
      </c>
      <c r="Q58" s="120">
        <f>'2020'!E53</f>
        <v>23.891538294392792</v>
      </c>
      <c r="R58" s="120">
        <f>'2021'!E53</f>
        <v>23.617691181092091</v>
      </c>
      <c r="S58" s="120">
        <f>'2022'!E54</f>
        <v>24.785021782650919</v>
      </c>
    </row>
    <row r="59" spans="1:20">
      <c r="A59" s="12"/>
      <c r="B59" s="12"/>
    </row>
    <row r="60" spans="1:20">
      <c r="A60" s="12"/>
    </row>
    <row r="61" spans="1:20">
      <c r="A61" s="18"/>
    </row>
    <row r="62" spans="1:20">
      <c r="A62" s="18"/>
      <c r="B62" s="8"/>
    </row>
    <row r="63" spans="1:20">
      <c r="B63" s="9"/>
    </row>
    <row r="64" spans="1:20">
      <c r="B64" s="10"/>
    </row>
  </sheetData>
  <mergeCells count="2">
    <mergeCell ref="A3:R3"/>
    <mergeCell ref="A2:R2"/>
  </mergeCells>
  <phoneticPr fontId="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zoomScaleSheetLayoutView="100" workbookViewId="0">
      <selection activeCell="F1" sqref="F1"/>
    </sheetView>
  </sheetViews>
  <sheetFormatPr defaultColWidth="11.42578125" defaultRowHeight="12.75"/>
  <cols>
    <col min="1" max="1" width="24.7109375" customWidth="1"/>
    <col min="2" max="3" width="11.42578125" customWidth="1"/>
    <col min="4" max="4" width="7.4257812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69</v>
      </c>
      <c r="B2" s="155"/>
      <c r="C2" s="155"/>
      <c r="D2" s="155"/>
      <c r="E2" s="155"/>
      <c r="F2" s="155"/>
    </row>
    <row r="3" spans="1:6" ht="15">
      <c r="A3" s="156" t="s">
        <v>70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23" t="s">
        <v>0</v>
      </c>
      <c r="B7" s="28">
        <v>272</v>
      </c>
      <c r="C7" s="29">
        <v>2128</v>
      </c>
      <c r="D7" s="29">
        <f>SUM(B7:C7)</f>
        <v>2400</v>
      </c>
      <c r="E7" s="30">
        <f>B7*100/D7</f>
        <v>11.333333333333334</v>
      </c>
      <c r="F7" s="31">
        <f t="shared" ref="F7:F53" si="0">(D7/$D$54)*100</f>
        <v>1.4713184852776193</v>
      </c>
    </row>
    <row r="8" spans="1:6">
      <c r="A8" s="23" t="s">
        <v>1</v>
      </c>
      <c r="B8" s="28">
        <v>274</v>
      </c>
      <c r="C8" s="29">
        <v>2219</v>
      </c>
      <c r="D8" s="29">
        <f t="shared" ref="D8:D53" si="1">SUM(B8:C8)</f>
        <v>2493</v>
      </c>
      <c r="E8" s="30">
        <f t="shared" ref="E8:E53" si="2">B8*100/D8</f>
        <v>10.990774167669475</v>
      </c>
      <c r="F8" s="31">
        <f t="shared" si="0"/>
        <v>1.5283320765821273</v>
      </c>
    </row>
    <row r="9" spans="1:6">
      <c r="A9" s="23" t="s">
        <v>2</v>
      </c>
      <c r="B9" s="28">
        <v>664</v>
      </c>
      <c r="C9" s="29">
        <v>1515</v>
      </c>
      <c r="D9" s="29">
        <f t="shared" si="1"/>
        <v>2179</v>
      </c>
      <c r="E9" s="30">
        <f t="shared" si="2"/>
        <v>30.472693896282699</v>
      </c>
      <c r="F9" s="31">
        <f t="shared" si="0"/>
        <v>1.3358345747583054</v>
      </c>
    </row>
    <row r="10" spans="1:6">
      <c r="A10" s="23" t="s">
        <v>3</v>
      </c>
      <c r="B10" s="28">
        <v>25</v>
      </c>
      <c r="C10" s="37">
        <v>578</v>
      </c>
      <c r="D10" s="29">
        <f t="shared" si="1"/>
        <v>603</v>
      </c>
      <c r="E10" s="30">
        <f t="shared" si="2"/>
        <v>4.1459369817578775</v>
      </c>
      <c r="F10" s="31">
        <f t="shared" si="0"/>
        <v>0.36966876942600185</v>
      </c>
    </row>
    <row r="11" spans="1:6">
      <c r="A11" s="23" t="s">
        <v>4</v>
      </c>
      <c r="B11" s="28">
        <v>170</v>
      </c>
      <c r="C11" s="29">
        <v>108</v>
      </c>
      <c r="D11" s="29">
        <f t="shared" si="1"/>
        <v>278</v>
      </c>
      <c r="E11" s="30">
        <f t="shared" si="2"/>
        <v>61.151079136690647</v>
      </c>
      <c r="F11" s="31">
        <f t="shared" si="0"/>
        <v>0.17042772454465757</v>
      </c>
    </row>
    <row r="12" spans="1:6">
      <c r="A12" s="23" t="s">
        <v>5</v>
      </c>
      <c r="B12" s="28">
        <v>3004</v>
      </c>
      <c r="C12" s="29">
        <v>4586</v>
      </c>
      <c r="D12" s="29">
        <f t="shared" si="1"/>
        <v>7590</v>
      </c>
      <c r="E12" s="30">
        <f t="shared" si="2"/>
        <v>39.578392621870883</v>
      </c>
      <c r="F12" s="31">
        <f t="shared" si="0"/>
        <v>4.6530447096904712</v>
      </c>
    </row>
    <row r="13" spans="1:6">
      <c r="A13" s="23" t="s">
        <v>6</v>
      </c>
      <c r="B13" s="28">
        <v>1184</v>
      </c>
      <c r="C13" s="29">
        <v>2206</v>
      </c>
      <c r="D13" s="29">
        <f t="shared" si="1"/>
        <v>3390</v>
      </c>
      <c r="E13" s="30">
        <f t="shared" si="2"/>
        <v>34.926253687315636</v>
      </c>
      <c r="F13" s="31">
        <f t="shared" si="0"/>
        <v>2.0782373604546374</v>
      </c>
    </row>
    <row r="14" spans="1:6">
      <c r="A14" s="23" t="s">
        <v>7</v>
      </c>
      <c r="B14" s="28">
        <v>167</v>
      </c>
      <c r="C14" s="29">
        <v>161</v>
      </c>
      <c r="D14" s="29">
        <f t="shared" si="1"/>
        <v>328</v>
      </c>
      <c r="E14" s="30">
        <f t="shared" si="2"/>
        <v>50.914634146341463</v>
      </c>
      <c r="F14" s="31">
        <f t="shared" si="0"/>
        <v>0.2010801929879413</v>
      </c>
    </row>
    <row r="15" spans="1:6">
      <c r="A15" s="23" t="s">
        <v>8</v>
      </c>
      <c r="B15" s="28">
        <v>637</v>
      </c>
      <c r="C15" s="29">
        <v>3380</v>
      </c>
      <c r="D15" s="29">
        <f t="shared" si="1"/>
        <v>4017</v>
      </c>
      <c r="E15" s="30">
        <f t="shared" si="2"/>
        <v>15.857605177993527</v>
      </c>
      <c r="F15" s="31">
        <f t="shared" si="0"/>
        <v>2.4626193147334154</v>
      </c>
    </row>
    <row r="16" spans="1:6">
      <c r="A16" s="23" t="s">
        <v>9</v>
      </c>
      <c r="B16" s="28">
        <v>29</v>
      </c>
      <c r="C16" s="29">
        <v>314</v>
      </c>
      <c r="D16" s="29">
        <f t="shared" si="1"/>
        <v>343</v>
      </c>
      <c r="E16" s="30">
        <f t="shared" si="2"/>
        <v>8.4548104956268215</v>
      </c>
      <c r="F16" s="31">
        <f t="shared" si="0"/>
        <v>0.21027593352092644</v>
      </c>
    </row>
    <row r="17" spans="1:6">
      <c r="A17" s="23" t="s">
        <v>10</v>
      </c>
      <c r="B17" s="28">
        <v>73</v>
      </c>
      <c r="C17" s="29">
        <v>17262</v>
      </c>
      <c r="D17" s="29">
        <f t="shared" si="1"/>
        <v>17335</v>
      </c>
      <c r="E17" s="30">
        <f t="shared" si="2"/>
        <v>0.42111335448514564</v>
      </c>
      <c r="F17" s="31">
        <f t="shared" si="0"/>
        <v>10.627210809286472</v>
      </c>
    </row>
    <row r="18" spans="1:6">
      <c r="A18" s="23" t="s">
        <v>11</v>
      </c>
      <c r="B18" s="28">
        <v>282</v>
      </c>
      <c r="C18" s="29">
        <v>7767</v>
      </c>
      <c r="D18" s="29">
        <f t="shared" si="1"/>
        <v>8049</v>
      </c>
      <c r="E18" s="30">
        <f t="shared" si="2"/>
        <v>3.503540812523295</v>
      </c>
      <c r="F18" s="31">
        <f t="shared" si="0"/>
        <v>4.9344343699998161</v>
      </c>
    </row>
    <row r="19" spans="1:6">
      <c r="A19" s="23" t="s">
        <v>12</v>
      </c>
      <c r="B19" s="28">
        <v>22</v>
      </c>
      <c r="C19" s="29">
        <v>552</v>
      </c>
      <c r="D19" s="29">
        <f t="shared" si="1"/>
        <v>574</v>
      </c>
      <c r="E19" s="30">
        <f t="shared" si="2"/>
        <v>3.8327526132404182</v>
      </c>
      <c r="F19" s="31">
        <f t="shared" si="0"/>
        <v>0.35189033772889727</v>
      </c>
    </row>
    <row r="20" spans="1:6">
      <c r="A20" s="23" t="s">
        <v>13</v>
      </c>
      <c r="B20" s="28">
        <v>914</v>
      </c>
      <c r="C20" s="29">
        <v>1028</v>
      </c>
      <c r="D20" s="29">
        <f t="shared" si="1"/>
        <v>1942</v>
      </c>
      <c r="E20" s="30">
        <f t="shared" si="2"/>
        <v>47.064881565396497</v>
      </c>
      <c r="F20" s="31">
        <f t="shared" si="0"/>
        <v>1.1905418743371403</v>
      </c>
    </row>
    <row r="21" spans="1:6">
      <c r="A21" s="23" t="s">
        <v>52</v>
      </c>
      <c r="B21" s="28">
        <v>117</v>
      </c>
      <c r="C21" s="29">
        <v>398</v>
      </c>
      <c r="D21" s="29">
        <f t="shared" si="1"/>
        <v>515</v>
      </c>
      <c r="E21" s="30">
        <f t="shared" si="2"/>
        <v>22.718446601941746</v>
      </c>
      <c r="F21" s="31">
        <f t="shared" si="0"/>
        <v>0.31572042496582248</v>
      </c>
    </row>
    <row r="22" spans="1:6">
      <c r="A22" s="23" t="s">
        <v>15</v>
      </c>
      <c r="B22" s="28">
        <v>33</v>
      </c>
      <c r="C22" s="29">
        <v>67</v>
      </c>
      <c r="D22" s="29">
        <f t="shared" si="1"/>
        <v>100</v>
      </c>
      <c r="E22" s="30">
        <f>B22*100/D22</f>
        <v>33</v>
      </c>
      <c r="F22" s="31">
        <f t="shared" si="0"/>
        <v>6.130493688656747E-2</v>
      </c>
    </row>
    <row r="23" spans="1:6">
      <c r="A23" s="23" t="s">
        <v>17</v>
      </c>
      <c r="B23" s="28">
        <v>2800</v>
      </c>
      <c r="C23" s="29">
        <v>24486</v>
      </c>
      <c r="D23" s="29">
        <f t="shared" si="1"/>
        <v>27286</v>
      </c>
      <c r="E23" s="30">
        <f t="shared" si="2"/>
        <v>10.26167265264238</v>
      </c>
      <c r="F23" s="31">
        <f t="shared" si="0"/>
        <v>16.727665078868799</v>
      </c>
    </row>
    <row r="24" spans="1:6">
      <c r="A24" s="23" t="s">
        <v>19</v>
      </c>
      <c r="B24" s="28">
        <v>454</v>
      </c>
      <c r="C24" s="29">
        <v>20</v>
      </c>
      <c r="D24" s="29">
        <f t="shared" si="1"/>
        <v>474</v>
      </c>
      <c r="E24" s="30">
        <f t="shared" si="2"/>
        <v>95.780590717299575</v>
      </c>
      <c r="F24" s="31">
        <f t="shared" si="0"/>
        <v>0.29058540084232981</v>
      </c>
    </row>
    <row r="25" spans="1:6">
      <c r="A25" s="23" t="s">
        <v>20</v>
      </c>
      <c r="B25" s="28">
        <v>5777</v>
      </c>
      <c r="C25" s="29">
        <v>11548</v>
      </c>
      <c r="D25" s="29">
        <f t="shared" si="1"/>
        <v>17325</v>
      </c>
      <c r="E25" s="30">
        <f t="shared" si="2"/>
        <v>33.344877344877347</v>
      </c>
      <c r="F25" s="31">
        <f t="shared" si="0"/>
        <v>10.621080315597816</v>
      </c>
    </row>
    <row r="26" spans="1:6">
      <c r="A26" s="23" t="s">
        <v>21</v>
      </c>
      <c r="B26" s="28">
        <v>14</v>
      </c>
      <c r="C26" s="29">
        <v>135</v>
      </c>
      <c r="D26" s="29">
        <f t="shared" si="1"/>
        <v>149</v>
      </c>
      <c r="E26" s="30">
        <f t="shared" si="2"/>
        <v>9.3959731543624159</v>
      </c>
      <c r="F26" s="31">
        <f t="shared" si="0"/>
        <v>9.1344355960985543E-2</v>
      </c>
    </row>
    <row r="27" spans="1:6">
      <c r="A27" s="23" t="s">
        <v>48</v>
      </c>
      <c r="B27" s="28">
        <v>89</v>
      </c>
      <c r="C27" s="29">
        <v>778</v>
      </c>
      <c r="D27" s="29">
        <f t="shared" si="1"/>
        <v>867</v>
      </c>
      <c r="E27" s="30">
        <f t="shared" si="2"/>
        <v>10.265282583621683</v>
      </c>
      <c r="F27" s="31">
        <f t="shared" si="0"/>
        <v>0.53151380280654004</v>
      </c>
    </row>
    <row r="28" spans="1:6">
      <c r="A28" s="23" t="s">
        <v>22</v>
      </c>
      <c r="B28" s="28">
        <v>847</v>
      </c>
      <c r="C28" s="29">
        <v>467</v>
      </c>
      <c r="D28" s="29">
        <f t="shared" si="1"/>
        <v>1314</v>
      </c>
      <c r="E28" s="30">
        <f t="shared" si="2"/>
        <v>64.459665144596656</v>
      </c>
      <c r="F28" s="31">
        <f t="shared" si="0"/>
        <v>0.8055468706894966</v>
      </c>
    </row>
    <row r="29" spans="1:6">
      <c r="A29" s="23" t="s">
        <v>23</v>
      </c>
      <c r="B29" s="28">
        <v>258</v>
      </c>
      <c r="C29" s="29">
        <v>464</v>
      </c>
      <c r="D29" s="29">
        <f t="shared" si="1"/>
        <v>722</v>
      </c>
      <c r="E29" s="30">
        <f t="shared" si="2"/>
        <v>35.734072022160667</v>
      </c>
      <c r="F29" s="31">
        <f t="shared" si="0"/>
        <v>0.44262164432101719</v>
      </c>
    </row>
    <row r="30" spans="1:6">
      <c r="A30" s="23" t="s">
        <v>24</v>
      </c>
      <c r="B30" s="28">
        <v>229</v>
      </c>
      <c r="C30" s="29">
        <v>1169</v>
      </c>
      <c r="D30" s="29">
        <f t="shared" si="1"/>
        <v>1398</v>
      </c>
      <c r="E30" s="30">
        <f t="shared" si="2"/>
        <v>16.380543633762517</v>
      </c>
      <c r="F30" s="31">
        <f t="shared" si="0"/>
        <v>0.85704301767421331</v>
      </c>
    </row>
    <row r="31" spans="1:6">
      <c r="A31" s="23" t="s">
        <v>25</v>
      </c>
      <c r="B31" s="28">
        <v>377</v>
      </c>
      <c r="C31" s="29">
        <v>1015</v>
      </c>
      <c r="D31" s="29">
        <f t="shared" si="1"/>
        <v>1392</v>
      </c>
      <c r="E31" s="30">
        <f t="shared" si="2"/>
        <v>27.083333333333332</v>
      </c>
      <c r="F31" s="31">
        <f t="shared" si="0"/>
        <v>0.85336472146101927</v>
      </c>
    </row>
    <row r="32" spans="1:6">
      <c r="A32" s="23" t="s">
        <v>26</v>
      </c>
      <c r="B32" s="28">
        <v>20</v>
      </c>
      <c r="C32" s="29">
        <v>107</v>
      </c>
      <c r="D32" s="29">
        <f t="shared" si="1"/>
        <v>127</v>
      </c>
      <c r="E32" s="30">
        <f t="shared" si="2"/>
        <v>15.748031496062993</v>
      </c>
      <c r="F32" s="31">
        <f t="shared" si="0"/>
        <v>7.7857269845940685E-2</v>
      </c>
    </row>
    <row r="33" spans="1:7">
      <c r="A33" s="23" t="s">
        <v>27</v>
      </c>
      <c r="B33" s="28">
        <v>8552</v>
      </c>
      <c r="C33" s="29">
        <v>22742</v>
      </c>
      <c r="D33" s="29">
        <f t="shared" si="1"/>
        <v>31294</v>
      </c>
      <c r="E33" s="30">
        <f t="shared" si="2"/>
        <v>27.327922285422126</v>
      </c>
      <c r="F33" s="31">
        <f t="shared" si="0"/>
        <v>19.184766949282427</v>
      </c>
    </row>
    <row r="34" spans="1:7">
      <c r="A34" s="23" t="s">
        <v>28</v>
      </c>
      <c r="B34" s="28">
        <v>2</v>
      </c>
      <c r="C34" s="29">
        <v>407</v>
      </c>
      <c r="D34" s="29">
        <f t="shared" si="1"/>
        <v>409</v>
      </c>
      <c r="E34" s="30">
        <f t="shared" si="2"/>
        <v>0.48899755501222492</v>
      </c>
      <c r="F34" s="31">
        <f t="shared" si="0"/>
        <v>0.25073719186606097</v>
      </c>
    </row>
    <row r="35" spans="1:7">
      <c r="A35" s="23" t="s">
        <v>29</v>
      </c>
      <c r="B35" s="28">
        <v>931</v>
      </c>
      <c r="C35" s="29">
        <v>1354</v>
      </c>
      <c r="D35" s="29">
        <f t="shared" si="1"/>
        <v>2285</v>
      </c>
      <c r="E35" s="30">
        <f t="shared" si="2"/>
        <v>40.74398249452954</v>
      </c>
      <c r="F35" s="31">
        <f t="shared" si="0"/>
        <v>1.4008178078580669</v>
      </c>
    </row>
    <row r="36" spans="1:7">
      <c r="A36" s="23" t="s">
        <v>53</v>
      </c>
      <c r="B36" s="28">
        <v>872</v>
      </c>
      <c r="C36" s="29">
        <v>1866</v>
      </c>
      <c r="D36" s="29">
        <f t="shared" si="1"/>
        <v>2738</v>
      </c>
      <c r="E36" s="30">
        <f t="shared" si="2"/>
        <v>31.848064280496715</v>
      </c>
      <c r="F36" s="31">
        <f t="shared" si="0"/>
        <v>1.6785291719542172</v>
      </c>
    </row>
    <row r="37" spans="1:7">
      <c r="A37" s="23" t="s">
        <v>30</v>
      </c>
      <c r="B37" s="28">
        <v>136</v>
      </c>
      <c r="C37" s="29">
        <v>466</v>
      </c>
      <c r="D37" s="29">
        <f t="shared" si="1"/>
        <v>602</v>
      </c>
      <c r="E37" s="30">
        <f t="shared" si="2"/>
        <v>22.591362126245848</v>
      </c>
      <c r="F37" s="31">
        <f t="shared" si="0"/>
        <v>0.36905572005713622</v>
      </c>
    </row>
    <row r="38" spans="1:7">
      <c r="A38" s="23" t="s">
        <v>31</v>
      </c>
      <c r="B38" s="28">
        <v>153</v>
      </c>
      <c r="C38" s="29">
        <v>2570</v>
      </c>
      <c r="D38" s="29">
        <f t="shared" si="1"/>
        <v>2723</v>
      </c>
      <c r="E38" s="30">
        <f t="shared" si="2"/>
        <v>5.618802791039295</v>
      </c>
      <c r="F38" s="31">
        <f t="shared" si="0"/>
        <v>1.6693334314212323</v>
      </c>
    </row>
    <row r="39" spans="1:7">
      <c r="A39" s="23" t="s">
        <v>32</v>
      </c>
      <c r="B39" s="28">
        <v>71</v>
      </c>
      <c r="C39" s="29">
        <v>1799</v>
      </c>
      <c r="D39" s="29">
        <f t="shared" si="1"/>
        <v>1870</v>
      </c>
      <c r="E39" s="30">
        <f t="shared" si="2"/>
        <v>3.7967914438502675</v>
      </c>
      <c r="F39" s="31">
        <f t="shared" si="0"/>
        <v>1.1464023197788118</v>
      </c>
    </row>
    <row r="40" spans="1:7">
      <c r="A40" s="23" t="s">
        <v>33</v>
      </c>
      <c r="B40" s="28">
        <v>47</v>
      </c>
      <c r="C40" s="29">
        <v>159</v>
      </c>
      <c r="D40" s="29">
        <f t="shared" si="1"/>
        <v>206</v>
      </c>
      <c r="E40" s="30">
        <f t="shared" si="2"/>
        <v>22.815533980582526</v>
      </c>
      <c r="F40" s="31">
        <f t="shared" si="0"/>
        <v>0.126288169986329</v>
      </c>
    </row>
    <row r="41" spans="1:7">
      <c r="A41" s="23" t="s">
        <v>34</v>
      </c>
      <c r="B41" s="28">
        <v>166</v>
      </c>
      <c r="C41" s="29">
        <v>732</v>
      </c>
      <c r="D41" s="29">
        <f t="shared" si="1"/>
        <v>898</v>
      </c>
      <c r="E41" s="30">
        <f t="shared" si="2"/>
        <v>18.485523385300667</v>
      </c>
      <c r="F41" s="31">
        <f t="shared" si="0"/>
        <v>0.55051833324137589</v>
      </c>
    </row>
    <row r="42" spans="1:7">
      <c r="A42" s="23" t="s">
        <v>35</v>
      </c>
      <c r="B42" s="28">
        <v>373</v>
      </c>
      <c r="C42" s="29">
        <v>1898</v>
      </c>
      <c r="D42" s="29">
        <f t="shared" si="1"/>
        <v>2271</v>
      </c>
      <c r="E42" s="30">
        <f t="shared" si="2"/>
        <v>16.424482606781154</v>
      </c>
      <c r="F42" s="31">
        <f t="shared" si="0"/>
        <v>1.3922351166939473</v>
      </c>
    </row>
    <row r="43" spans="1:7">
      <c r="A43" s="23" t="s">
        <v>36</v>
      </c>
      <c r="B43" s="28">
        <v>144</v>
      </c>
      <c r="C43" s="29">
        <v>1617</v>
      </c>
      <c r="D43" s="29">
        <f t="shared" si="1"/>
        <v>1761</v>
      </c>
      <c r="E43" s="30">
        <f t="shared" si="2"/>
        <v>8.1771720613287897</v>
      </c>
      <c r="F43" s="31">
        <f t="shared" si="0"/>
        <v>1.0795799385724532</v>
      </c>
    </row>
    <row r="44" spans="1:7">
      <c r="A44" s="23" t="s">
        <v>37</v>
      </c>
      <c r="B44" s="28">
        <v>4</v>
      </c>
      <c r="C44" s="29">
        <v>79</v>
      </c>
      <c r="D44" s="29">
        <f t="shared" si="1"/>
        <v>83</v>
      </c>
      <c r="E44" s="30">
        <f t="shared" si="2"/>
        <v>4.8192771084337354</v>
      </c>
      <c r="F44" s="31">
        <f t="shared" si="0"/>
        <v>5.0883097615851011E-2</v>
      </c>
    </row>
    <row r="45" spans="1:7">
      <c r="A45" s="23" t="s">
        <v>38</v>
      </c>
      <c r="B45" s="28">
        <v>352</v>
      </c>
      <c r="C45" s="29">
        <v>2462</v>
      </c>
      <c r="D45" s="29">
        <f t="shared" si="1"/>
        <v>2814</v>
      </c>
      <c r="E45" s="30">
        <f t="shared" si="2"/>
        <v>12.508884150675195</v>
      </c>
      <c r="F45" s="31">
        <f t="shared" si="0"/>
        <v>1.7251209239880088</v>
      </c>
    </row>
    <row r="46" spans="1:7">
      <c r="A46" s="23" t="s">
        <v>39</v>
      </c>
      <c r="B46" s="28">
        <v>127</v>
      </c>
      <c r="C46" s="29">
        <v>430</v>
      </c>
      <c r="D46" s="29">
        <f t="shared" si="1"/>
        <v>557</v>
      </c>
      <c r="E46" s="30">
        <f t="shared" si="2"/>
        <v>22.800718132854577</v>
      </c>
      <c r="F46" s="31">
        <f t="shared" si="0"/>
        <v>0.34146849845818084</v>
      </c>
      <c r="G46" s="17"/>
    </row>
    <row r="47" spans="1:7">
      <c r="A47" s="23" t="s">
        <v>40</v>
      </c>
      <c r="B47" s="28">
        <v>319</v>
      </c>
      <c r="C47" s="29">
        <v>1130</v>
      </c>
      <c r="D47" s="29">
        <f t="shared" si="1"/>
        <v>1449</v>
      </c>
      <c r="E47" s="30">
        <f t="shared" si="2"/>
        <v>22.015182884748103</v>
      </c>
      <c r="F47" s="31">
        <f t="shared" si="0"/>
        <v>0.88830853548636268</v>
      </c>
    </row>
    <row r="48" spans="1:7">
      <c r="A48" s="23" t="s">
        <v>41</v>
      </c>
      <c r="B48" s="28">
        <v>20</v>
      </c>
      <c r="C48" s="29">
        <v>250</v>
      </c>
      <c r="D48" s="29">
        <f t="shared" si="1"/>
        <v>270</v>
      </c>
      <c r="E48" s="30">
        <f t="shared" si="2"/>
        <v>7.4074074074074074</v>
      </c>
      <c r="F48" s="31">
        <f t="shared" si="0"/>
        <v>0.16552332959373217</v>
      </c>
    </row>
    <row r="49" spans="1:6">
      <c r="A49" s="23" t="s">
        <v>42</v>
      </c>
      <c r="B49" s="28">
        <v>109</v>
      </c>
      <c r="C49" s="29">
        <v>565</v>
      </c>
      <c r="D49" s="29">
        <f t="shared" si="1"/>
        <v>674</v>
      </c>
      <c r="E49" s="30">
        <f t="shared" si="2"/>
        <v>16.172106824925816</v>
      </c>
      <c r="F49" s="31">
        <f t="shared" si="0"/>
        <v>0.41319527461546479</v>
      </c>
    </row>
    <row r="50" spans="1:6">
      <c r="A50" s="23" t="s">
        <v>43</v>
      </c>
      <c r="B50" s="28">
        <v>192</v>
      </c>
      <c r="C50" s="29">
        <v>2832</v>
      </c>
      <c r="D50" s="29">
        <f t="shared" si="1"/>
        <v>3024</v>
      </c>
      <c r="E50" s="30">
        <f t="shared" si="2"/>
        <v>6.3492063492063489</v>
      </c>
      <c r="F50" s="31">
        <f t="shared" si="0"/>
        <v>1.8538612914498005</v>
      </c>
    </row>
    <row r="51" spans="1:6">
      <c r="A51" s="23" t="s">
        <v>44</v>
      </c>
      <c r="B51" s="28">
        <v>170</v>
      </c>
      <c r="C51" s="29">
        <v>1595</v>
      </c>
      <c r="D51" s="29">
        <f t="shared" si="1"/>
        <v>1765</v>
      </c>
      <c r="E51" s="30">
        <f t="shared" si="2"/>
        <v>9.6317280453257794</v>
      </c>
      <c r="F51" s="31">
        <f t="shared" si="0"/>
        <v>1.0820321360479159</v>
      </c>
    </row>
    <row r="52" spans="1:6">
      <c r="A52" s="23" t="s">
        <v>45</v>
      </c>
      <c r="B52" s="28">
        <v>222</v>
      </c>
      <c r="C52" s="29">
        <v>1098</v>
      </c>
      <c r="D52" s="29">
        <f t="shared" si="1"/>
        <v>1320</v>
      </c>
      <c r="E52" s="30">
        <f t="shared" si="2"/>
        <v>16.818181818181817</v>
      </c>
      <c r="F52" s="31">
        <f t="shared" si="0"/>
        <v>0.80922516690269064</v>
      </c>
    </row>
    <row r="53" spans="1:6">
      <c r="A53" s="23" t="s">
        <v>46</v>
      </c>
      <c r="B53" s="28">
        <v>644</v>
      </c>
      <c r="C53" s="29">
        <v>272</v>
      </c>
      <c r="D53" s="29">
        <f t="shared" si="1"/>
        <v>916</v>
      </c>
      <c r="E53" s="30">
        <f t="shared" si="2"/>
        <v>70.3056768558952</v>
      </c>
      <c r="F53" s="31">
        <f t="shared" si="0"/>
        <v>0.56155322188095813</v>
      </c>
    </row>
    <row r="54" spans="1:6">
      <c r="A54" s="12"/>
      <c r="B54" s="32">
        <f>SUM(B7:B53)</f>
        <v>32338</v>
      </c>
      <c r="C54" s="32">
        <f>SUM(C7:C53)</f>
        <v>130781</v>
      </c>
      <c r="D54" s="32">
        <f>SUM(D7:D53)</f>
        <v>163119</v>
      </c>
      <c r="E54" s="36">
        <f>(B54*100)/D54</f>
        <v>19.824790490378192</v>
      </c>
      <c r="F54" s="38"/>
    </row>
    <row r="55" spans="1:6">
      <c r="A55" s="12"/>
      <c r="B55" s="13"/>
      <c r="C55" s="2"/>
      <c r="D55" s="2"/>
      <c r="E55" s="15"/>
      <c r="F55" s="1"/>
    </row>
  </sheetData>
  <mergeCells count="3">
    <mergeCell ref="A2:F2"/>
    <mergeCell ref="A3:F3"/>
    <mergeCell ref="B5:F5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2" sqref="A2:F2"/>
    </sheetView>
  </sheetViews>
  <sheetFormatPr defaultColWidth="11.42578125" defaultRowHeight="12.75"/>
  <cols>
    <col min="1" max="1" width="24.7109375" customWidth="1"/>
    <col min="2" max="3" width="11.42578125" customWidth="1"/>
    <col min="4" max="4" width="7.4257812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78</v>
      </c>
      <c r="B2" s="155"/>
      <c r="C2" s="155"/>
      <c r="D2" s="155"/>
      <c r="E2" s="155"/>
      <c r="F2" s="155"/>
    </row>
    <row r="3" spans="1:6" ht="15">
      <c r="A3" s="156" t="s">
        <v>79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23" t="s">
        <v>0</v>
      </c>
      <c r="B7" s="28">
        <v>277</v>
      </c>
      <c r="C7" s="29">
        <v>1968</v>
      </c>
      <c r="D7" s="29">
        <f>SUM(B7:C7)</f>
        <v>2245</v>
      </c>
      <c r="E7" s="30">
        <f>B7*100/D7</f>
        <v>12.338530066815144</v>
      </c>
      <c r="F7" s="31">
        <f t="shared" ref="F7:F53" si="0">(D7/$D$54)*100</f>
        <v>1.4041430036776663</v>
      </c>
    </row>
    <row r="8" spans="1:6">
      <c r="A8" s="23" t="s">
        <v>1</v>
      </c>
      <c r="B8" s="28">
        <v>283</v>
      </c>
      <c r="C8" s="29">
        <v>2255</v>
      </c>
      <c r="D8" s="29">
        <f t="shared" ref="D8:D53" si="1">SUM(B8:C8)</f>
        <v>2538</v>
      </c>
      <c r="E8" s="30">
        <f t="shared" ref="E8:E53" si="2">B8*100/D8</f>
        <v>11.150512214342001</v>
      </c>
      <c r="F8" s="31">
        <f t="shared" si="0"/>
        <v>1.58740086562758</v>
      </c>
    </row>
    <row r="9" spans="1:6">
      <c r="A9" s="23" t="s">
        <v>2</v>
      </c>
      <c r="B9" s="28">
        <v>714</v>
      </c>
      <c r="C9" s="29">
        <v>1495</v>
      </c>
      <c r="D9" s="29">
        <f t="shared" si="1"/>
        <v>2209</v>
      </c>
      <c r="E9" s="30">
        <f t="shared" si="2"/>
        <v>32.322317790855593</v>
      </c>
      <c r="F9" s="31">
        <f t="shared" si="0"/>
        <v>1.3816266793425234</v>
      </c>
    </row>
    <row r="10" spans="1:6">
      <c r="A10" s="23" t="s">
        <v>3</v>
      </c>
      <c r="B10" s="28">
        <v>31</v>
      </c>
      <c r="C10" s="37">
        <v>540</v>
      </c>
      <c r="D10" s="29">
        <f t="shared" si="1"/>
        <v>571</v>
      </c>
      <c r="E10" s="30">
        <f t="shared" si="2"/>
        <v>5.4290718038528896</v>
      </c>
      <c r="F10" s="31">
        <f t="shared" si="0"/>
        <v>0.3571339220935178</v>
      </c>
    </row>
    <row r="11" spans="1:6">
      <c r="A11" s="23" t="s">
        <v>4</v>
      </c>
      <c r="B11" s="28">
        <v>110</v>
      </c>
      <c r="C11" s="29">
        <v>158</v>
      </c>
      <c r="D11" s="29">
        <f t="shared" si="1"/>
        <v>268</v>
      </c>
      <c r="E11" s="30">
        <f t="shared" si="2"/>
        <v>41.044776119402982</v>
      </c>
      <c r="F11" s="31">
        <f t="shared" si="0"/>
        <v>0.16762152560606441</v>
      </c>
    </row>
    <row r="12" spans="1:6">
      <c r="A12" s="23" t="s">
        <v>5</v>
      </c>
      <c r="B12" s="28">
        <v>3091</v>
      </c>
      <c r="C12" s="29">
        <v>4551</v>
      </c>
      <c r="D12" s="29">
        <f t="shared" si="1"/>
        <v>7642</v>
      </c>
      <c r="E12" s="30">
        <f t="shared" si="2"/>
        <v>40.447526825438366</v>
      </c>
      <c r="F12" s="31">
        <f t="shared" si="0"/>
        <v>4.7797152935878513</v>
      </c>
    </row>
    <row r="13" spans="1:6">
      <c r="A13" s="23" t="s">
        <v>6</v>
      </c>
      <c r="B13" s="28">
        <v>1308</v>
      </c>
      <c r="C13" s="29">
        <v>3022</v>
      </c>
      <c r="D13" s="29">
        <f t="shared" si="1"/>
        <v>4330</v>
      </c>
      <c r="E13" s="30">
        <f t="shared" si="2"/>
        <v>30.207852193995382</v>
      </c>
      <c r="F13" s="31">
        <f t="shared" si="0"/>
        <v>2.7082134547546972</v>
      </c>
    </row>
    <row r="14" spans="1:6">
      <c r="A14" s="23" t="s">
        <v>7</v>
      </c>
      <c r="B14" s="28">
        <v>134</v>
      </c>
      <c r="C14" s="29">
        <v>105</v>
      </c>
      <c r="D14" s="29">
        <f t="shared" si="1"/>
        <v>239</v>
      </c>
      <c r="E14" s="30">
        <f t="shared" si="2"/>
        <v>56.06694560669456</v>
      </c>
      <c r="F14" s="31">
        <f t="shared" si="0"/>
        <v>0.14948337544719922</v>
      </c>
    </row>
    <row r="15" spans="1:6">
      <c r="A15" s="23" t="s">
        <v>8</v>
      </c>
      <c r="B15" s="28">
        <v>483</v>
      </c>
      <c r="C15" s="29">
        <v>2884</v>
      </c>
      <c r="D15" s="29">
        <f t="shared" si="1"/>
        <v>3367</v>
      </c>
      <c r="E15" s="30">
        <f t="shared" si="2"/>
        <v>14.345114345114345</v>
      </c>
      <c r="F15" s="31">
        <f t="shared" si="0"/>
        <v>2.1059017787896224</v>
      </c>
    </row>
    <row r="16" spans="1:6">
      <c r="A16" s="23" t="s">
        <v>9</v>
      </c>
      <c r="B16" s="28">
        <v>33</v>
      </c>
      <c r="C16" s="29">
        <v>346</v>
      </c>
      <c r="D16" s="29">
        <f t="shared" si="1"/>
        <v>379</v>
      </c>
      <c r="E16" s="30">
        <f t="shared" si="2"/>
        <v>8.7071240105540895</v>
      </c>
      <c r="F16" s="31">
        <f t="shared" si="0"/>
        <v>0.23704685897275526</v>
      </c>
    </row>
    <row r="17" spans="1:6">
      <c r="A17" s="23" t="s">
        <v>10</v>
      </c>
      <c r="B17" s="28">
        <v>103</v>
      </c>
      <c r="C17" s="29">
        <v>17343</v>
      </c>
      <c r="D17" s="29">
        <f t="shared" si="1"/>
        <v>17446</v>
      </c>
      <c r="E17" s="30">
        <f t="shared" si="2"/>
        <v>0.59039321334403305</v>
      </c>
      <c r="F17" s="31">
        <f t="shared" si="0"/>
        <v>10.911660954191788</v>
      </c>
    </row>
    <row r="18" spans="1:6">
      <c r="A18" s="23" t="s">
        <v>11</v>
      </c>
      <c r="B18" s="28">
        <v>209</v>
      </c>
      <c r="C18" s="29">
        <v>8008</v>
      </c>
      <c r="D18" s="29">
        <f t="shared" si="1"/>
        <v>8217</v>
      </c>
      <c r="E18" s="30">
        <f t="shared" si="2"/>
        <v>2.5435073627844713</v>
      </c>
      <c r="F18" s="31">
        <f t="shared" si="0"/>
        <v>5.1393510294963844</v>
      </c>
    </row>
    <row r="19" spans="1:6">
      <c r="A19" s="23" t="s">
        <v>12</v>
      </c>
      <c r="B19" s="28">
        <v>21</v>
      </c>
      <c r="C19" s="29">
        <v>475</v>
      </c>
      <c r="D19" s="29">
        <f t="shared" si="1"/>
        <v>496</v>
      </c>
      <c r="E19" s="30">
        <f t="shared" si="2"/>
        <v>4.2338709677419351</v>
      </c>
      <c r="F19" s="31">
        <f t="shared" si="0"/>
        <v>0.31022491306196992</v>
      </c>
    </row>
    <row r="20" spans="1:6">
      <c r="A20" s="23" t="s">
        <v>13</v>
      </c>
      <c r="B20" s="28">
        <v>924</v>
      </c>
      <c r="C20" s="29">
        <v>1632</v>
      </c>
      <c r="D20" s="29">
        <f t="shared" si="1"/>
        <v>2556</v>
      </c>
      <c r="E20" s="30">
        <f t="shared" si="2"/>
        <v>36.15023474178404</v>
      </c>
      <c r="F20" s="31">
        <f t="shared" si="0"/>
        <v>1.5986590277951513</v>
      </c>
    </row>
    <row r="21" spans="1:6">
      <c r="A21" s="23" t="s">
        <v>52</v>
      </c>
      <c r="B21" s="28">
        <v>132</v>
      </c>
      <c r="C21" s="29">
        <v>474</v>
      </c>
      <c r="D21" s="29">
        <f t="shared" si="1"/>
        <v>606</v>
      </c>
      <c r="E21" s="30">
        <f t="shared" si="2"/>
        <v>21.782178217821784</v>
      </c>
      <c r="F21" s="31">
        <f t="shared" si="0"/>
        <v>0.37902479297490682</v>
      </c>
    </row>
    <row r="22" spans="1:6">
      <c r="A22" s="23" t="s">
        <v>15</v>
      </c>
      <c r="B22" s="28">
        <v>0</v>
      </c>
      <c r="C22" s="29">
        <v>0</v>
      </c>
      <c r="D22" s="29">
        <f t="shared" si="1"/>
        <v>0</v>
      </c>
      <c r="E22" s="30">
        <v>0</v>
      </c>
      <c r="F22" s="31">
        <f t="shared" si="0"/>
        <v>0</v>
      </c>
    </row>
    <row r="23" spans="1:6">
      <c r="A23" s="23" t="s">
        <v>17</v>
      </c>
      <c r="B23" s="28">
        <v>2685</v>
      </c>
      <c r="C23" s="29">
        <v>22887</v>
      </c>
      <c r="D23" s="29">
        <f t="shared" si="1"/>
        <v>25572</v>
      </c>
      <c r="E23" s="30">
        <f t="shared" si="2"/>
        <v>10.499765368371657</v>
      </c>
      <c r="F23" s="31">
        <f t="shared" si="0"/>
        <v>15.994095719396562</v>
      </c>
    </row>
    <row r="24" spans="1:6">
      <c r="A24" s="23" t="s">
        <v>19</v>
      </c>
      <c r="B24" s="28">
        <v>478</v>
      </c>
      <c r="C24" s="29">
        <v>14</v>
      </c>
      <c r="D24" s="29">
        <f t="shared" si="1"/>
        <v>492</v>
      </c>
      <c r="E24" s="30">
        <f t="shared" si="2"/>
        <v>97.154471544715449</v>
      </c>
      <c r="F24" s="31">
        <f t="shared" si="0"/>
        <v>0.30772309924695401</v>
      </c>
    </row>
    <row r="25" spans="1:6">
      <c r="A25" s="23" t="s">
        <v>20</v>
      </c>
      <c r="B25" s="28">
        <v>6162</v>
      </c>
      <c r="C25" s="29">
        <v>12079</v>
      </c>
      <c r="D25" s="29">
        <f t="shared" si="1"/>
        <v>18241</v>
      </c>
      <c r="E25" s="30">
        <f t="shared" si="2"/>
        <v>33.781042705991993</v>
      </c>
      <c r="F25" s="31">
        <f t="shared" si="0"/>
        <v>11.408896449926196</v>
      </c>
    </row>
    <row r="26" spans="1:6">
      <c r="A26" s="23" t="s">
        <v>21</v>
      </c>
      <c r="B26" s="28">
        <v>11</v>
      </c>
      <c r="C26" s="29">
        <v>113</v>
      </c>
      <c r="D26" s="29">
        <f t="shared" si="1"/>
        <v>124</v>
      </c>
      <c r="E26" s="30">
        <f t="shared" si="2"/>
        <v>8.870967741935484</v>
      </c>
      <c r="F26" s="31">
        <f t="shared" si="0"/>
        <v>7.755622826549248E-2</v>
      </c>
    </row>
    <row r="27" spans="1:6">
      <c r="A27" s="23" t="s">
        <v>48</v>
      </c>
      <c r="B27" s="28">
        <v>116</v>
      </c>
      <c r="C27" s="29">
        <v>824</v>
      </c>
      <c r="D27" s="29">
        <f t="shared" si="1"/>
        <v>940</v>
      </c>
      <c r="E27" s="30">
        <f t="shared" si="2"/>
        <v>12.340425531914894</v>
      </c>
      <c r="F27" s="31">
        <f t="shared" si="0"/>
        <v>0.58792624652873338</v>
      </c>
    </row>
    <row r="28" spans="1:6">
      <c r="A28" s="23" t="s">
        <v>22</v>
      </c>
      <c r="B28" s="28">
        <v>821</v>
      </c>
      <c r="C28" s="29">
        <v>505</v>
      </c>
      <c r="D28" s="29">
        <f t="shared" si="1"/>
        <v>1326</v>
      </c>
      <c r="E28" s="30">
        <f t="shared" si="2"/>
        <v>61.91553544494721</v>
      </c>
      <c r="F28" s="31">
        <f t="shared" si="0"/>
        <v>0.82935127967776645</v>
      </c>
    </row>
    <row r="29" spans="1:6">
      <c r="A29" s="23" t="s">
        <v>23</v>
      </c>
      <c r="B29" s="28">
        <v>212</v>
      </c>
      <c r="C29" s="29">
        <v>388</v>
      </c>
      <c r="D29" s="29">
        <f t="shared" si="1"/>
        <v>600</v>
      </c>
      <c r="E29" s="30">
        <f t="shared" si="2"/>
        <v>35.333333333333336</v>
      </c>
      <c r="F29" s="31">
        <f t="shared" si="0"/>
        <v>0.37527207225238296</v>
      </c>
    </row>
    <row r="30" spans="1:6">
      <c r="A30" s="23" t="s">
        <v>24</v>
      </c>
      <c r="B30" s="28">
        <v>204</v>
      </c>
      <c r="C30" s="29">
        <v>1149</v>
      </c>
      <c r="D30" s="29">
        <f t="shared" si="1"/>
        <v>1353</v>
      </c>
      <c r="E30" s="30">
        <f t="shared" si="2"/>
        <v>15.077605321507761</v>
      </c>
      <c r="F30" s="31">
        <f t="shared" si="0"/>
        <v>0.8462385229291236</v>
      </c>
    </row>
    <row r="31" spans="1:6">
      <c r="A31" s="23" t="s">
        <v>25</v>
      </c>
      <c r="B31" s="28">
        <v>336</v>
      </c>
      <c r="C31" s="29">
        <v>956</v>
      </c>
      <c r="D31" s="29">
        <f t="shared" si="1"/>
        <v>1292</v>
      </c>
      <c r="E31" s="30">
        <f t="shared" si="2"/>
        <v>26.006191950464395</v>
      </c>
      <c r="F31" s="31">
        <f t="shared" si="0"/>
        <v>0.80808586225013146</v>
      </c>
    </row>
    <row r="32" spans="1:6">
      <c r="A32" s="23" t="s">
        <v>26</v>
      </c>
      <c r="B32" s="28">
        <v>19</v>
      </c>
      <c r="C32" s="29">
        <v>95</v>
      </c>
      <c r="D32" s="29">
        <f t="shared" si="1"/>
        <v>114</v>
      </c>
      <c r="E32" s="30">
        <f t="shared" si="2"/>
        <v>16.666666666666668</v>
      </c>
      <c r="F32" s="31">
        <f t="shared" si="0"/>
        <v>7.1301693727952767E-2</v>
      </c>
    </row>
    <row r="33" spans="1:7">
      <c r="A33" s="23" t="s">
        <v>27</v>
      </c>
      <c r="B33" s="28">
        <v>7959</v>
      </c>
      <c r="C33" s="29">
        <v>21659</v>
      </c>
      <c r="D33" s="29">
        <f t="shared" si="1"/>
        <v>29618</v>
      </c>
      <c r="E33" s="30">
        <f t="shared" si="2"/>
        <v>26.872172327638598</v>
      </c>
      <c r="F33" s="31">
        <f t="shared" si="0"/>
        <v>18.524680393285131</v>
      </c>
    </row>
    <row r="34" spans="1:7">
      <c r="A34" s="23" t="s">
        <v>28</v>
      </c>
      <c r="B34" s="28">
        <v>3</v>
      </c>
      <c r="C34" s="29">
        <v>432</v>
      </c>
      <c r="D34" s="29">
        <f t="shared" si="1"/>
        <v>435</v>
      </c>
      <c r="E34" s="30">
        <f t="shared" si="2"/>
        <v>0.68965517241379315</v>
      </c>
      <c r="F34" s="31">
        <f t="shared" si="0"/>
        <v>0.27207225238297766</v>
      </c>
    </row>
    <row r="35" spans="1:7">
      <c r="A35" s="23" t="s">
        <v>29</v>
      </c>
      <c r="B35" s="28">
        <v>925</v>
      </c>
      <c r="C35" s="29">
        <v>1496</v>
      </c>
      <c r="D35" s="29">
        <f t="shared" si="1"/>
        <v>2421</v>
      </c>
      <c r="E35" s="30">
        <f t="shared" si="2"/>
        <v>38.207352333746385</v>
      </c>
      <c r="F35" s="31">
        <f t="shared" si="0"/>
        <v>1.5142228115383654</v>
      </c>
    </row>
    <row r="36" spans="1:7">
      <c r="A36" s="23" t="s">
        <v>53</v>
      </c>
      <c r="B36" s="28">
        <v>909</v>
      </c>
      <c r="C36" s="29">
        <v>1768</v>
      </c>
      <c r="D36" s="29">
        <f t="shared" si="1"/>
        <v>2677</v>
      </c>
      <c r="E36" s="30">
        <f t="shared" si="2"/>
        <v>33.955920806873365</v>
      </c>
      <c r="F36" s="31">
        <f t="shared" si="0"/>
        <v>1.6743388956993819</v>
      </c>
    </row>
    <row r="37" spans="1:7">
      <c r="A37" s="23" t="s">
        <v>30</v>
      </c>
      <c r="B37" s="28">
        <v>127</v>
      </c>
      <c r="C37" s="29">
        <v>477</v>
      </c>
      <c r="D37" s="29">
        <f t="shared" si="1"/>
        <v>604</v>
      </c>
      <c r="E37" s="30">
        <f t="shared" si="2"/>
        <v>21.026490066225165</v>
      </c>
      <c r="F37" s="31">
        <f t="shared" si="0"/>
        <v>0.37777388606739887</v>
      </c>
    </row>
    <row r="38" spans="1:7">
      <c r="A38" s="23" t="s">
        <v>31</v>
      </c>
      <c r="B38" s="28">
        <v>159</v>
      </c>
      <c r="C38" s="29">
        <v>2364</v>
      </c>
      <c r="D38" s="29">
        <f t="shared" si="1"/>
        <v>2523</v>
      </c>
      <c r="E38" s="30">
        <f t="shared" si="2"/>
        <v>6.3020214030915573</v>
      </c>
      <c r="F38" s="31">
        <f t="shared" si="0"/>
        <v>1.5780190638212703</v>
      </c>
    </row>
    <row r="39" spans="1:7">
      <c r="A39" s="23" t="s">
        <v>32</v>
      </c>
      <c r="B39" s="28">
        <v>60</v>
      </c>
      <c r="C39" s="29">
        <v>1628</v>
      </c>
      <c r="D39" s="29">
        <f t="shared" si="1"/>
        <v>1688</v>
      </c>
      <c r="E39" s="30">
        <f t="shared" si="2"/>
        <v>3.5545023696682465</v>
      </c>
      <c r="F39" s="31">
        <f t="shared" si="0"/>
        <v>1.0557654299367041</v>
      </c>
    </row>
    <row r="40" spans="1:7">
      <c r="A40" s="23" t="s">
        <v>33</v>
      </c>
      <c r="B40" s="28">
        <v>47</v>
      </c>
      <c r="C40" s="29">
        <v>210</v>
      </c>
      <c r="D40" s="29">
        <f t="shared" si="1"/>
        <v>257</v>
      </c>
      <c r="E40" s="30">
        <f t="shared" si="2"/>
        <v>18.28793774319066</v>
      </c>
      <c r="F40" s="31">
        <f t="shared" si="0"/>
        <v>0.1607415376147707</v>
      </c>
    </row>
    <row r="41" spans="1:7">
      <c r="A41" s="23" t="s">
        <v>34</v>
      </c>
      <c r="B41" s="28">
        <v>135</v>
      </c>
      <c r="C41" s="29">
        <v>672</v>
      </c>
      <c r="D41" s="29">
        <f t="shared" si="1"/>
        <v>807</v>
      </c>
      <c r="E41" s="30">
        <f t="shared" si="2"/>
        <v>16.728624535315983</v>
      </c>
      <c r="F41" s="31">
        <f t="shared" si="0"/>
        <v>0.50474093717945512</v>
      </c>
    </row>
    <row r="42" spans="1:7">
      <c r="A42" s="23" t="s">
        <v>35</v>
      </c>
      <c r="B42" s="28">
        <v>384</v>
      </c>
      <c r="C42" s="29">
        <v>1862</v>
      </c>
      <c r="D42" s="29">
        <f t="shared" si="1"/>
        <v>2246</v>
      </c>
      <c r="E42" s="30">
        <f t="shared" si="2"/>
        <v>17.097061442564559</v>
      </c>
      <c r="F42" s="31">
        <f t="shared" si="0"/>
        <v>1.4047684571314203</v>
      </c>
    </row>
    <row r="43" spans="1:7">
      <c r="A43" s="23" t="s">
        <v>36</v>
      </c>
      <c r="B43" s="28">
        <v>138</v>
      </c>
      <c r="C43" s="29">
        <v>1545</v>
      </c>
      <c r="D43" s="29">
        <f t="shared" si="1"/>
        <v>1683</v>
      </c>
      <c r="E43" s="30">
        <f t="shared" si="2"/>
        <v>8.1996434937611404</v>
      </c>
      <c r="F43" s="31">
        <f t="shared" si="0"/>
        <v>1.0526381626679342</v>
      </c>
    </row>
    <row r="44" spans="1:7">
      <c r="A44" s="23" t="s">
        <v>37</v>
      </c>
      <c r="B44" s="28">
        <v>3</v>
      </c>
      <c r="C44" s="29">
        <v>78</v>
      </c>
      <c r="D44" s="29">
        <f t="shared" si="1"/>
        <v>81</v>
      </c>
      <c r="E44" s="30">
        <f t="shared" si="2"/>
        <v>3.7037037037037037</v>
      </c>
      <c r="F44" s="31">
        <f t="shared" si="0"/>
        <v>5.0661729754071703E-2</v>
      </c>
    </row>
    <row r="45" spans="1:7">
      <c r="A45" s="23" t="s">
        <v>38</v>
      </c>
      <c r="B45" s="28">
        <v>290</v>
      </c>
      <c r="C45" s="29">
        <v>2334</v>
      </c>
      <c r="D45" s="29">
        <f t="shared" si="1"/>
        <v>2624</v>
      </c>
      <c r="E45" s="30">
        <f t="shared" si="2"/>
        <v>11.051829268292684</v>
      </c>
      <c r="F45" s="31">
        <f t="shared" si="0"/>
        <v>1.6411898626504213</v>
      </c>
    </row>
    <row r="46" spans="1:7">
      <c r="A46" s="23" t="s">
        <v>39</v>
      </c>
      <c r="B46" s="28">
        <v>166</v>
      </c>
      <c r="C46" s="29">
        <v>506</v>
      </c>
      <c r="D46" s="29">
        <f t="shared" si="1"/>
        <v>672</v>
      </c>
      <c r="E46" s="30">
        <f t="shared" si="2"/>
        <v>24.702380952380953</v>
      </c>
      <c r="F46" s="31">
        <f t="shared" si="0"/>
        <v>0.42030472092266896</v>
      </c>
      <c r="G46" s="17"/>
    </row>
    <row r="47" spans="1:7">
      <c r="A47" s="23" t="s">
        <v>40</v>
      </c>
      <c r="B47" s="28">
        <v>429</v>
      </c>
      <c r="C47" s="29">
        <v>1410</v>
      </c>
      <c r="D47" s="29">
        <f t="shared" si="1"/>
        <v>1839</v>
      </c>
      <c r="E47" s="30">
        <f t="shared" si="2"/>
        <v>23.327895595432299</v>
      </c>
      <c r="F47" s="31">
        <f t="shared" si="0"/>
        <v>1.1502089014535537</v>
      </c>
    </row>
    <row r="48" spans="1:7">
      <c r="A48" s="23" t="s">
        <v>41</v>
      </c>
      <c r="B48" s="28">
        <v>24</v>
      </c>
      <c r="C48" s="29">
        <v>255</v>
      </c>
      <c r="D48" s="29">
        <f t="shared" si="1"/>
        <v>279</v>
      </c>
      <c r="E48" s="30">
        <f t="shared" si="2"/>
        <v>8.6021505376344081</v>
      </c>
      <c r="F48" s="31">
        <f t="shared" si="0"/>
        <v>0.17450151359735808</v>
      </c>
    </row>
    <row r="49" spans="1:6">
      <c r="A49" s="23" t="s">
        <v>42</v>
      </c>
      <c r="B49" s="28">
        <v>130</v>
      </c>
      <c r="C49" s="29">
        <v>589</v>
      </c>
      <c r="D49" s="29">
        <f t="shared" si="1"/>
        <v>719</v>
      </c>
      <c r="E49" s="30">
        <f t="shared" si="2"/>
        <v>18.080667593880388</v>
      </c>
      <c r="F49" s="31">
        <f t="shared" si="0"/>
        <v>0.44970103324910554</v>
      </c>
    </row>
    <row r="50" spans="1:6">
      <c r="A50" s="23" t="s">
        <v>43</v>
      </c>
      <c r="B50" s="28">
        <v>130</v>
      </c>
      <c r="C50" s="29">
        <v>589</v>
      </c>
      <c r="D50" s="29">
        <f t="shared" si="1"/>
        <v>719</v>
      </c>
      <c r="E50" s="30">
        <f t="shared" si="2"/>
        <v>18.080667593880388</v>
      </c>
      <c r="F50" s="31">
        <f t="shared" si="0"/>
        <v>0.44970103324910554</v>
      </c>
    </row>
    <row r="51" spans="1:6">
      <c r="A51" s="23" t="s">
        <v>44</v>
      </c>
      <c r="B51" s="28">
        <v>235</v>
      </c>
      <c r="C51" s="29">
        <v>1964</v>
      </c>
      <c r="D51" s="29">
        <f t="shared" si="1"/>
        <v>2199</v>
      </c>
      <c r="E51" s="30">
        <f t="shared" si="2"/>
        <v>10.686675761709868</v>
      </c>
      <c r="F51" s="31">
        <f t="shared" si="0"/>
        <v>1.3753721448049836</v>
      </c>
    </row>
    <row r="52" spans="1:6">
      <c r="A52" s="23" t="s">
        <v>45</v>
      </c>
      <c r="B52" s="28">
        <v>239</v>
      </c>
      <c r="C52" s="29">
        <v>1171</v>
      </c>
      <c r="D52" s="29">
        <f t="shared" si="1"/>
        <v>1410</v>
      </c>
      <c r="E52" s="30">
        <f t="shared" si="2"/>
        <v>16.950354609929079</v>
      </c>
      <c r="F52" s="31">
        <f t="shared" si="0"/>
        <v>0.88188936979310006</v>
      </c>
    </row>
    <row r="53" spans="1:6">
      <c r="A53" s="23" t="s">
        <v>46</v>
      </c>
      <c r="B53" s="28">
        <v>1077</v>
      </c>
      <c r="C53" s="29">
        <v>143</v>
      </c>
      <c r="D53" s="29">
        <f t="shared" si="1"/>
        <v>1220</v>
      </c>
      <c r="E53" s="30">
        <f t="shared" si="2"/>
        <v>88.278688524590166</v>
      </c>
      <c r="F53" s="31">
        <f t="shared" si="0"/>
        <v>0.76305321357984535</v>
      </c>
    </row>
    <row r="54" spans="1:6">
      <c r="A54" s="12"/>
      <c r="B54" s="32">
        <f>SUM(B7:B53)</f>
        <v>32466</v>
      </c>
      <c r="C54" s="32">
        <f>SUM(C7:C53)</f>
        <v>127418</v>
      </c>
      <c r="D54" s="32">
        <f>SUM(D7:D53)</f>
        <v>159884</v>
      </c>
      <c r="E54" s="36">
        <f>(B54*100)/D54</f>
        <v>20.305971829576443</v>
      </c>
      <c r="F54" s="38"/>
    </row>
    <row r="55" spans="1:6">
      <c r="A55" s="12"/>
      <c r="B55" s="13"/>
      <c r="C55" s="2"/>
      <c r="D55" s="2"/>
      <c r="E55" s="15"/>
      <c r="F55" s="1"/>
    </row>
  </sheetData>
  <mergeCells count="3">
    <mergeCell ref="A2:F2"/>
    <mergeCell ref="A3:F3"/>
    <mergeCell ref="B5:F5"/>
  </mergeCells>
  <pageMargins left="0.7" right="0.7" top="0.75" bottom="0.75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6" sqref="E6"/>
    </sheetView>
  </sheetViews>
  <sheetFormatPr defaultColWidth="11.42578125" defaultRowHeight="12.75"/>
  <cols>
    <col min="1" max="1" width="24.7109375" customWidth="1"/>
    <col min="2" max="3" width="11.42578125" customWidth="1"/>
    <col min="4" max="4" width="10.8554687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140</v>
      </c>
      <c r="B2" s="155"/>
      <c r="C2" s="155"/>
      <c r="D2" s="155"/>
      <c r="E2" s="155"/>
      <c r="F2" s="155"/>
    </row>
    <row r="3" spans="1:6" ht="15">
      <c r="A3" s="156" t="s">
        <v>136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20.25" customHeight="1">
      <c r="A5" s="45" t="s">
        <v>80</v>
      </c>
      <c r="B5" s="46" t="s">
        <v>81</v>
      </c>
      <c r="C5" s="47" t="s">
        <v>82</v>
      </c>
      <c r="D5" s="48" t="s">
        <v>83</v>
      </c>
      <c r="E5" s="46" t="s">
        <v>84</v>
      </c>
      <c r="F5" s="49" t="s">
        <v>85</v>
      </c>
    </row>
    <row r="6" spans="1:6">
      <c r="A6" s="50" t="s">
        <v>86</v>
      </c>
      <c r="B6" s="64">
        <v>320</v>
      </c>
      <c r="C6" s="65">
        <v>2038</v>
      </c>
      <c r="D6" s="65">
        <v>2358</v>
      </c>
      <c r="E6" s="68">
        <v>13.57</v>
      </c>
      <c r="F6" s="69">
        <v>1.45</v>
      </c>
    </row>
    <row r="7" spans="1:6">
      <c r="A7" s="51" t="s">
        <v>87</v>
      </c>
      <c r="B7" s="64">
        <v>287</v>
      </c>
      <c r="C7" s="65">
        <v>2274</v>
      </c>
      <c r="D7" s="65">
        <v>2561</v>
      </c>
      <c r="E7" s="68">
        <v>11.21</v>
      </c>
      <c r="F7" s="69">
        <v>1.58</v>
      </c>
    </row>
    <row r="8" spans="1:6">
      <c r="A8" s="51" t="s">
        <v>88</v>
      </c>
      <c r="B8" s="64">
        <v>807</v>
      </c>
      <c r="C8" s="65">
        <v>1529</v>
      </c>
      <c r="D8" s="65">
        <v>2336</v>
      </c>
      <c r="E8" s="68">
        <v>34.549999999999997</v>
      </c>
      <c r="F8" s="69">
        <v>1.44</v>
      </c>
    </row>
    <row r="9" spans="1:6">
      <c r="A9" s="51" t="s">
        <v>89</v>
      </c>
      <c r="B9" s="64">
        <v>31</v>
      </c>
      <c r="C9" s="63">
        <v>582</v>
      </c>
      <c r="D9" s="63">
        <v>613</v>
      </c>
      <c r="E9" s="68">
        <v>5.0599999999999996</v>
      </c>
      <c r="F9" s="69">
        <v>0.38</v>
      </c>
    </row>
    <row r="10" spans="1:6">
      <c r="A10" s="51" t="s">
        <v>90</v>
      </c>
      <c r="B10" s="64">
        <v>108</v>
      </c>
      <c r="C10" s="63">
        <v>168</v>
      </c>
      <c r="D10" s="63">
        <v>276</v>
      </c>
      <c r="E10" s="68">
        <v>39.130000000000003</v>
      </c>
      <c r="F10" s="69">
        <v>0.17</v>
      </c>
    </row>
    <row r="11" spans="1:6">
      <c r="A11" s="51" t="s">
        <v>91</v>
      </c>
      <c r="B11" s="66">
        <v>3241</v>
      </c>
      <c r="C11" s="65">
        <v>4609</v>
      </c>
      <c r="D11" s="65">
        <v>7850</v>
      </c>
      <c r="E11" s="68">
        <v>41.29</v>
      </c>
      <c r="F11" s="69">
        <v>4.83</v>
      </c>
    </row>
    <row r="12" spans="1:6">
      <c r="A12" s="51" t="s">
        <v>92</v>
      </c>
      <c r="B12" s="66">
        <v>1123</v>
      </c>
      <c r="C12" s="65">
        <v>2578</v>
      </c>
      <c r="D12" s="65">
        <v>3701</v>
      </c>
      <c r="E12" s="68">
        <v>30.34</v>
      </c>
      <c r="F12" s="69">
        <v>2.2799999999999998</v>
      </c>
    </row>
    <row r="13" spans="1:6">
      <c r="A13" s="50" t="s">
        <v>93</v>
      </c>
      <c r="B13" s="64">
        <v>82</v>
      </c>
      <c r="C13" s="63">
        <v>99</v>
      </c>
      <c r="D13" s="63">
        <v>181</v>
      </c>
      <c r="E13" s="68">
        <v>45.3</v>
      </c>
      <c r="F13" s="69">
        <v>0.11</v>
      </c>
    </row>
    <row r="14" spans="1:6">
      <c r="A14" s="51" t="s">
        <v>94</v>
      </c>
      <c r="B14" s="64">
        <v>365</v>
      </c>
      <c r="C14" s="65">
        <v>2447</v>
      </c>
      <c r="D14" s="65">
        <v>2812</v>
      </c>
      <c r="E14" s="68">
        <v>12.98</v>
      </c>
      <c r="F14" s="69">
        <v>1.73</v>
      </c>
    </row>
    <row r="15" spans="1:6">
      <c r="A15" s="51" t="s">
        <v>95</v>
      </c>
      <c r="B15" s="64">
        <v>67</v>
      </c>
      <c r="C15" s="63">
        <v>453</v>
      </c>
      <c r="D15" s="63">
        <v>520</v>
      </c>
      <c r="E15" s="68">
        <v>12.88</v>
      </c>
      <c r="F15" s="69">
        <v>0.32</v>
      </c>
    </row>
    <row r="16" spans="1:6">
      <c r="A16" s="51" t="s">
        <v>96</v>
      </c>
      <c r="B16" s="64">
        <v>113</v>
      </c>
      <c r="C16" s="65">
        <v>17554</v>
      </c>
      <c r="D16" s="65">
        <v>17667</v>
      </c>
      <c r="E16" s="68">
        <v>0.64</v>
      </c>
      <c r="F16" s="69">
        <v>10.88</v>
      </c>
    </row>
    <row r="17" spans="1:6">
      <c r="A17" s="51" t="s">
        <v>97</v>
      </c>
      <c r="B17" s="64">
        <v>274</v>
      </c>
      <c r="C17" s="65">
        <v>8275</v>
      </c>
      <c r="D17" s="65">
        <v>8549</v>
      </c>
      <c r="E17" s="68">
        <v>3.21</v>
      </c>
      <c r="F17" s="69">
        <v>5.26</v>
      </c>
    </row>
    <row r="18" spans="1:6">
      <c r="A18" s="50" t="s">
        <v>98</v>
      </c>
      <c r="B18" s="64">
        <v>20</v>
      </c>
      <c r="C18" s="63">
        <v>457</v>
      </c>
      <c r="D18" s="63">
        <v>477</v>
      </c>
      <c r="E18" s="68">
        <v>4.1900000000000004</v>
      </c>
      <c r="F18" s="69">
        <v>0.28999999999999998</v>
      </c>
    </row>
    <row r="19" spans="1:6">
      <c r="A19" s="50" t="s">
        <v>99</v>
      </c>
      <c r="B19" s="64">
        <v>986</v>
      </c>
      <c r="C19" s="65">
        <v>1719</v>
      </c>
      <c r="D19" s="65">
        <v>2705</v>
      </c>
      <c r="E19" s="68">
        <v>36.450000000000003</v>
      </c>
      <c r="F19" s="69">
        <v>1.67</v>
      </c>
    </row>
    <row r="20" spans="1:6">
      <c r="A20" s="50" t="s">
        <v>100</v>
      </c>
      <c r="B20" s="64">
        <v>110</v>
      </c>
      <c r="C20" s="63">
        <v>539</v>
      </c>
      <c r="D20" s="63">
        <v>649</v>
      </c>
      <c r="E20" s="68">
        <v>16.95</v>
      </c>
      <c r="F20" s="69">
        <v>0.4</v>
      </c>
    </row>
    <row r="21" spans="1:6">
      <c r="A21" s="51" t="s">
        <v>101</v>
      </c>
      <c r="B21" s="64">
        <v>0</v>
      </c>
      <c r="C21" s="63">
        <v>0</v>
      </c>
      <c r="D21" s="63">
        <v>0</v>
      </c>
      <c r="E21" s="68">
        <v>0</v>
      </c>
      <c r="F21" s="69">
        <v>0</v>
      </c>
    </row>
    <row r="22" spans="1:6">
      <c r="A22" s="51" t="s">
        <v>102</v>
      </c>
      <c r="B22" s="66">
        <v>2796</v>
      </c>
      <c r="C22" s="65">
        <v>23245</v>
      </c>
      <c r="D22" s="65">
        <v>26041</v>
      </c>
      <c r="E22" s="68">
        <v>10.74</v>
      </c>
      <c r="F22" s="69">
        <v>16.03</v>
      </c>
    </row>
    <row r="23" spans="1:6">
      <c r="A23" s="51" t="s">
        <v>103</v>
      </c>
      <c r="B23" s="64">
        <v>603</v>
      </c>
      <c r="C23" s="63">
        <v>18</v>
      </c>
      <c r="D23" s="63">
        <v>621</v>
      </c>
      <c r="E23" s="68">
        <v>97.1</v>
      </c>
      <c r="F23" s="69">
        <v>0.38</v>
      </c>
    </row>
    <row r="24" spans="1:6">
      <c r="A24" s="51" t="s">
        <v>104</v>
      </c>
      <c r="B24" s="66">
        <v>5812</v>
      </c>
      <c r="C24" s="65">
        <v>11539</v>
      </c>
      <c r="D24" s="65">
        <v>17351</v>
      </c>
      <c r="E24" s="68">
        <v>33.5</v>
      </c>
      <c r="F24" s="69">
        <v>10.68</v>
      </c>
    </row>
    <row r="25" spans="1:6">
      <c r="A25" s="51" t="s">
        <v>105</v>
      </c>
      <c r="B25" s="64">
        <v>16</v>
      </c>
      <c r="C25" s="63">
        <v>120</v>
      </c>
      <c r="D25" s="63">
        <v>136</v>
      </c>
      <c r="E25" s="68">
        <v>11.76</v>
      </c>
      <c r="F25" s="69">
        <v>0.08</v>
      </c>
    </row>
    <row r="26" spans="1:6">
      <c r="A26" s="51" t="s">
        <v>106</v>
      </c>
      <c r="B26" s="64">
        <v>106</v>
      </c>
      <c r="C26" s="63">
        <v>784</v>
      </c>
      <c r="D26" s="63">
        <v>890</v>
      </c>
      <c r="E26" s="68">
        <v>11.91</v>
      </c>
      <c r="F26" s="69">
        <v>0.55000000000000004</v>
      </c>
    </row>
    <row r="27" spans="1:6">
      <c r="A27" s="51" t="s">
        <v>107</v>
      </c>
      <c r="B27" s="64">
        <v>834</v>
      </c>
      <c r="C27" s="63">
        <v>485</v>
      </c>
      <c r="D27" s="65">
        <v>1319</v>
      </c>
      <c r="E27" s="68">
        <v>63.23</v>
      </c>
      <c r="F27" s="69">
        <v>0.81</v>
      </c>
    </row>
    <row r="28" spans="1:6">
      <c r="A28" s="51" t="s">
        <v>108</v>
      </c>
      <c r="B28" s="64">
        <v>144</v>
      </c>
      <c r="C28" s="63">
        <v>296</v>
      </c>
      <c r="D28" s="63">
        <v>440</v>
      </c>
      <c r="E28" s="68">
        <v>32.729999999999997</v>
      </c>
      <c r="F28" s="69">
        <v>0.27</v>
      </c>
    </row>
    <row r="29" spans="1:6">
      <c r="A29" s="50" t="s">
        <v>109</v>
      </c>
      <c r="B29" s="64">
        <v>200</v>
      </c>
      <c r="C29" s="65">
        <v>1185</v>
      </c>
      <c r="D29" s="65">
        <v>1385</v>
      </c>
      <c r="E29" s="68">
        <v>14.44</v>
      </c>
      <c r="F29" s="69">
        <v>0.85</v>
      </c>
    </row>
    <row r="30" spans="1:6">
      <c r="A30" s="51" t="s">
        <v>110</v>
      </c>
      <c r="B30" s="64">
        <v>323</v>
      </c>
      <c r="C30" s="63">
        <v>974</v>
      </c>
      <c r="D30" s="65">
        <v>1297</v>
      </c>
      <c r="E30" s="68">
        <v>24.9</v>
      </c>
      <c r="F30" s="69">
        <v>0.8</v>
      </c>
    </row>
    <row r="31" spans="1:6">
      <c r="A31" s="50" t="s">
        <v>111</v>
      </c>
      <c r="B31" s="64">
        <v>23</v>
      </c>
      <c r="C31" s="63">
        <v>91</v>
      </c>
      <c r="D31" s="63">
        <v>114</v>
      </c>
      <c r="E31" s="68">
        <v>20.18</v>
      </c>
      <c r="F31" s="69">
        <v>7.0000000000000007E-2</v>
      </c>
    </row>
    <row r="32" spans="1:6">
      <c r="A32" s="51" t="s">
        <v>112</v>
      </c>
      <c r="B32" s="66">
        <v>8528</v>
      </c>
      <c r="C32" s="65">
        <v>22543</v>
      </c>
      <c r="D32" s="65">
        <v>31071</v>
      </c>
      <c r="E32" s="68">
        <v>27.45</v>
      </c>
      <c r="F32" s="69">
        <v>19.13</v>
      </c>
    </row>
    <row r="33" spans="1:6">
      <c r="A33" s="51" t="s">
        <v>113</v>
      </c>
      <c r="B33" s="64">
        <v>3</v>
      </c>
      <c r="C33" s="63">
        <v>375</v>
      </c>
      <c r="D33" s="63">
        <v>378</v>
      </c>
      <c r="E33" s="68">
        <v>0.79</v>
      </c>
      <c r="F33" s="69">
        <v>0.23</v>
      </c>
    </row>
    <row r="34" spans="1:6">
      <c r="A34" s="51" t="s">
        <v>114</v>
      </c>
      <c r="B34" s="64">
        <v>799</v>
      </c>
      <c r="C34" s="65">
        <v>1180</v>
      </c>
      <c r="D34" s="65">
        <v>1979</v>
      </c>
      <c r="E34" s="68">
        <v>40.369999999999997</v>
      </c>
      <c r="F34" s="69">
        <v>1.22</v>
      </c>
    </row>
    <row r="35" spans="1:6">
      <c r="A35" s="51" t="s">
        <v>115</v>
      </c>
      <c r="B35" s="66">
        <v>1113</v>
      </c>
      <c r="C35" s="65">
        <v>1964</v>
      </c>
      <c r="D35" s="65">
        <v>3077</v>
      </c>
      <c r="E35" s="68">
        <v>36.17</v>
      </c>
      <c r="F35" s="69">
        <v>1.89</v>
      </c>
    </row>
    <row r="36" spans="1:6">
      <c r="A36" s="51" t="s">
        <v>116</v>
      </c>
      <c r="B36" s="64">
        <v>156</v>
      </c>
      <c r="C36" s="63">
        <v>451</v>
      </c>
      <c r="D36" s="63">
        <v>607</v>
      </c>
      <c r="E36" s="68">
        <v>25.7</v>
      </c>
      <c r="F36" s="69">
        <v>0.37</v>
      </c>
    </row>
    <row r="37" spans="1:6">
      <c r="A37" s="50" t="s">
        <v>117</v>
      </c>
      <c r="B37" s="64">
        <v>139</v>
      </c>
      <c r="C37" s="65">
        <v>2202</v>
      </c>
      <c r="D37" s="65">
        <v>2341</v>
      </c>
      <c r="E37" s="68">
        <v>5.94</v>
      </c>
      <c r="F37" s="69">
        <v>1.44</v>
      </c>
    </row>
    <row r="38" spans="1:6">
      <c r="A38" s="50" t="s">
        <v>118</v>
      </c>
      <c r="B38" s="64">
        <v>50</v>
      </c>
      <c r="C38" s="65">
        <v>1525</v>
      </c>
      <c r="D38" s="65">
        <v>1575</v>
      </c>
      <c r="E38" s="68">
        <v>3.17</v>
      </c>
      <c r="F38" s="69">
        <v>0.97</v>
      </c>
    </row>
    <row r="39" spans="1:6">
      <c r="A39" s="51" t="s">
        <v>119</v>
      </c>
      <c r="B39" s="64">
        <v>37</v>
      </c>
      <c r="C39" s="63">
        <v>158</v>
      </c>
      <c r="D39" s="63">
        <v>195</v>
      </c>
      <c r="E39" s="68">
        <v>18.97</v>
      </c>
      <c r="F39" s="69">
        <v>0.12</v>
      </c>
    </row>
    <row r="40" spans="1:6">
      <c r="A40" s="51" t="s">
        <v>120</v>
      </c>
      <c r="B40" s="64">
        <v>142</v>
      </c>
      <c r="C40" s="63">
        <v>777</v>
      </c>
      <c r="D40" s="63">
        <v>919</v>
      </c>
      <c r="E40" s="68">
        <v>15.45</v>
      </c>
      <c r="F40" s="69">
        <v>0.56999999999999995</v>
      </c>
    </row>
    <row r="41" spans="1:6">
      <c r="A41" s="51" t="s">
        <v>121</v>
      </c>
      <c r="B41" s="64">
        <v>414</v>
      </c>
      <c r="C41" s="65">
        <v>1948</v>
      </c>
      <c r="D41" s="65">
        <v>2362</v>
      </c>
      <c r="E41" s="68">
        <v>17.53</v>
      </c>
      <c r="F41" s="69">
        <v>1.45</v>
      </c>
    </row>
    <row r="42" spans="1:6">
      <c r="A42" s="51" t="s">
        <v>122</v>
      </c>
      <c r="B42" s="64">
        <v>139</v>
      </c>
      <c r="C42" s="65">
        <v>1207</v>
      </c>
      <c r="D42" s="65">
        <v>1346</v>
      </c>
      <c r="E42" s="68">
        <v>10.33</v>
      </c>
      <c r="F42" s="69">
        <v>0.83</v>
      </c>
    </row>
    <row r="43" spans="1:6">
      <c r="A43" s="51" t="s">
        <v>123</v>
      </c>
      <c r="B43" s="64">
        <v>7</v>
      </c>
      <c r="C43" s="63">
        <v>98</v>
      </c>
      <c r="D43" s="63">
        <v>105</v>
      </c>
      <c r="E43" s="68">
        <v>6.67</v>
      </c>
      <c r="F43" s="69">
        <v>0.06</v>
      </c>
    </row>
    <row r="44" spans="1:6">
      <c r="A44" s="51" t="s">
        <v>124</v>
      </c>
      <c r="B44" s="64">
        <v>443</v>
      </c>
      <c r="C44" s="65">
        <v>2749</v>
      </c>
      <c r="D44" s="65">
        <v>3192</v>
      </c>
      <c r="E44" s="68">
        <v>13.88</v>
      </c>
      <c r="F44" s="69">
        <v>1.97</v>
      </c>
    </row>
    <row r="45" spans="1:6">
      <c r="A45" s="51" t="s">
        <v>125</v>
      </c>
      <c r="B45" s="64">
        <v>121</v>
      </c>
      <c r="C45" s="63">
        <v>350</v>
      </c>
      <c r="D45" s="63">
        <v>471</v>
      </c>
      <c r="E45" s="68">
        <v>25.69</v>
      </c>
      <c r="F45" s="69">
        <v>0.28999999999999998</v>
      </c>
    </row>
    <row r="46" spans="1:6">
      <c r="A46" s="51" t="s">
        <v>126</v>
      </c>
      <c r="B46" s="64">
        <v>325</v>
      </c>
      <c r="C46" s="65">
        <v>1009</v>
      </c>
      <c r="D46" s="65">
        <v>1334</v>
      </c>
      <c r="E46" s="68">
        <v>24.36</v>
      </c>
      <c r="F46" s="69">
        <v>0.82</v>
      </c>
    </row>
    <row r="47" spans="1:6">
      <c r="A47" s="50" t="s">
        <v>127</v>
      </c>
      <c r="B47" s="64">
        <v>27</v>
      </c>
      <c r="C47" s="63">
        <v>267</v>
      </c>
      <c r="D47" s="63">
        <v>294</v>
      </c>
      <c r="E47" s="68">
        <v>9.18</v>
      </c>
      <c r="F47" s="69">
        <v>0.18</v>
      </c>
    </row>
    <row r="48" spans="1:6">
      <c r="A48" s="50" t="s">
        <v>128</v>
      </c>
      <c r="B48" s="64">
        <v>156</v>
      </c>
      <c r="C48" s="63">
        <v>646</v>
      </c>
      <c r="D48" s="63">
        <v>802</v>
      </c>
      <c r="E48" s="68">
        <v>19.45</v>
      </c>
      <c r="F48" s="69">
        <v>0.49</v>
      </c>
    </row>
    <row r="49" spans="1:6">
      <c r="A49" s="50" t="s">
        <v>129</v>
      </c>
      <c r="B49" s="64">
        <v>181</v>
      </c>
      <c r="C49" s="65">
        <v>2656</v>
      </c>
      <c r="D49" s="65">
        <v>2837</v>
      </c>
      <c r="E49" s="68">
        <v>6.38</v>
      </c>
      <c r="F49" s="69">
        <v>1.75</v>
      </c>
    </row>
    <row r="50" spans="1:6">
      <c r="A50" s="50" t="s">
        <v>130</v>
      </c>
      <c r="B50" s="64">
        <v>254</v>
      </c>
      <c r="C50" s="65">
        <v>2030</v>
      </c>
      <c r="D50" s="65">
        <v>2284</v>
      </c>
      <c r="E50" s="68">
        <v>11.12</v>
      </c>
      <c r="F50" s="69">
        <v>1.41</v>
      </c>
    </row>
    <row r="51" spans="1:6">
      <c r="A51" s="51" t="s">
        <v>131</v>
      </c>
      <c r="B51" s="64">
        <v>220</v>
      </c>
      <c r="C51" s="65">
        <v>1093</v>
      </c>
      <c r="D51" s="65">
        <v>1313</v>
      </c>
      <c r="E51" s="68">
        <v>16.760000000000002</v>
      </c>
      <c r="F51" s="69">
        <v>0.81</v>
      </c>
    </row>
    <row r="52" spans="1:6">
      <c r="A52" s="51" t="s">
        <v>132</v>
      </c>
      <c r="B52" s="64">
        <v>742</v>
      </c>
      <c r="C52" s="63">
        <v>368</v>
      </c>
      <c r="D52" s="65">
        <v>1110</v>
      </c>
      <c r="E52" s="68">
        <v>66.849999999999994</v>
      </c>
      <c r="F52" s="69">
        <v>0.68</v>
      </c>
    </row>
    <row r="53" spans="1:6">
      <c r="A53" s="52"/>
      <c r="B53" s="99">
        <v>32787</v>
      </c>
      <c r="C53" s="99">
        <v>129654</v>
      </c>
      <c r="D53" s="99">
        <v>162441</v>
      </c>
      <c r="E53" s="103">
        <f>(B53*100)/D53</f>
        <v>20.183943708792732</v>
      </c>
      <c r="F53" s="98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E6" sqref="E6"/>
    </sheetView>
  </sheetViews>
  <sheetFormatPr defaultRowHeight="12.75"/>
  <cols>
    <col min="1" max="1" width="21.7109375" customWidth="1"/>
    <col min="3" max="3" width="11.5703125" customWidth="1"/>
    <col min="5" max="6" width="11.28515625" customWidth="1"/>
  </cols>
  <sheetData>
    <row r="1" spans="1:7">
      <c r="A1" s="1"/>
      <c r="B1" s="1"/>
      <c r="C1" s="2"/>
      <c r="D1" s="1"/>
      <c r="E1" s="1"/>
      <c r="F1" s="1"/>
    </row>
    <row r="2" spans="1:7" ht="15">
      <c r="A2" s="155" t="s">
        <v>141</v>
      </c>
      <c r="B2" s="155"/>
      <c r="C2" s="155"/>
      <c r="D2" s="155"/>
      <c r="E2" s="155"/>
      <c r="F2" s="155"/>
    </row>
    <row r="3" spans="1:7" ht="15">
      <c r="A3" s="156" t="s">
        <v>137</v>
      </c>
      <c r="B3" s="156"/>
      <c r="C3" s="156"/>
      <c r="D3" s="156"/>
      <c r="E3" s="156"/>
      <c r="F3" s="156"/>
    </row>
    <row r="4" spans="1:7">
      <c r="A4" s="1"/>
      <c r="B4" s="1"/>
      <c r="C4" s="2"/>
      <c r="D4" s="1"/>
      <c r="E4" s="1"/>
      <c r="F4" s="1"/>
    </row>
    <row r="5" spans="1:7" ht="23.25" customHeight="1">
      <c r="A5" s="73" t="s">
        <v>80</v>
      </c>
      <c r="B5" s="46" t="s">
        <v>81</v>
      </c>
      <c r="C5" s="46" t="s">
        <v>82</v>
      </c>
      <c r="D5" s="46" t="s">
        <v>83</v>
      </c>
      <c r="E5" s="46" t="s">
        <v>84</v>
      </c>
      <c r="F5" s="49" t="s">
        <v>85</v>
      </c>
      <c r="G5" s="54"/>
    </row>
    <row r="6" spans="1:7">
      <c r="A6" s="50" t="s">
        <v>86</v>
      </c>
      <c r="B6" s="44">
        <v>264</v>
      </c>
      <c r="C6" s="43">
        <v>1779</v>
      </c>
      <c r="D6" s="43">
        <v>2043</v>
      </c>
      <c r="E6" s="81">
        <v>12.92</v>
      </c>
      <c r="F6" s="80">
        <v>1.25</v>
      </c>
      <c r="G6" s="54"/>
    </row>
    <row r="7" spans="1:7">
      <c r="A7" s="51" t="s">
        <v>87</v>
      </c>
      <c r="B7" s="44">
        <v>287</v>
      </c>
      <c r="C7" s="43">
        <v>2330</v>
      </c>
      <c r="D7" s="43">
        <v>2617</v>
      </c>
      <c r="E7" s="81">
        <v>10.97</v>
      </c>
      <c r="F7" s="80">
        <v>1.6</v>
      </c>
      <c r="G7" s="54"/>
    </row>
    <row r="8" spans="1:7">
      <c r="A8" s="51" t="s">
        <v>88</v>
      </c>
      <c r="B8" s="44">
        <v>885</v>
      </c>
      <c r="C8" s="43">
        <v>1617</v>
      </c>
      <c r="D8" s="43">
        <v>2502</v>
      </c>
      <c r="E8" s="81">
        <v>35.369999999999997</v>
      </c>
      <c r="F8" s="80">
        <v>1.53</v>
      </c>
      <c r="G8" s="54"/>
    </row>
    <row r="9" spans="1:7">
      <c r="A9" s="51" t="s">
        <v>89</v>
      </c>
      <c r="B9" s="44">
        <v>42</v>
      </c>
      <c r="C9" s="43">
        <v>660</v>
      </c>
      <c r="D9" s="43">
        <v>702</v>
      </c>
      <c r="E9" s="81">
        <v>5.98</v>
      </c>
      <c r="F9" s="80">
        <v>0.43</v>
      </c>
      <c r="G9" s="54"/>
    </row>
    <row r="10" spans="1:7">
      <c r="A10" s="51" t="s">
        <v>90</v>
      </c>
      <c r="B10" s="44">
        <v>108</v>
      </c>
      <c r="C10" s="43">
        <v>168</v>
      </c>
      <c r="D10" s="43">
        <v>276</v>
      </c>
      <c r="E10" s="81">
        <v>39.130000000000003</v>
      </c>
      <c r="F10" s="80">
        <v>0.17</v>
      </c>
      <c r="G10" s="54"/>
    </row>
    <row r="11" spans="1:7">
      <c r="A11" s="51" t="s">
        <v>91</v>
      </c>
      <c r="B11" s="44">
        <v>3307</v>
      </c>
      <c r="C11" s="43">
        <v>4691</v>
      </c>
      <c r="D11" s="43">
        <v>7998</v>
      </c>
      <c r="E11" s="81">
        <v>41.35</v>
      </c>
      <c r="F11" s="80">
        <v>4.88</v>
      </c>
      <c r="G11" s="54"/>
    </row>
    <row r="12" spans="1:7">
      <c r="A12" s="51" t="s">
        <v>92</v>
      </c>
      <c r="B12" s="44">
        <v>1246</v>
      </c>
      <c r="C12" s="43">
        <v>2624</v>
      </c>
      <c r="D12" s="43">
        <v>3870</v>
      </c>
      <c r="E12" s="81">
        <v>32.200000000000003</v>
      </c>
      <c r="F12" s="80">
        <v>2.36</v>
      </c>
      <c r="G12" s="54"/>
    </row>
    <row r="13" spans="1:7">
      <c r="A13" s="50" t="s">
        <v>93</v>
      </c>
      <c r="B13" s="44">
        <v>71</v>
      </c>
      <c r="C13" s="43">
        <v>84</v>
      </c>
      <c r="D13" s="43">
        <v>155</v>
      </c>
      <c r="E13" s="81">
        <v>45.81</v>
      </c>
      <c r="F13" s="80">
        <v>0.09</v>
      </c>
      <c r="G13" s="54"/>
    </row>
    <row r="14" spans="1:7">
      <c r="A14" s="51" t="s">
        <v>94</v>
      </c>
      <c r="B14" s="44">
        <v>368</v>
      </c>
      <c r="C14" s="43">
        <v>2311</v>
      </c>
      <c r="D14" s="43">
        <v>2679</v>
      </c>
      <c r="E14" s="81">
        <v>13.74</v>
      </c>
      <c r="F14" s="80">
        <v>1.63</v>
      </c>
      <c r="G14" s="54"/>
    </row>
    <row r="15" spans="1:7">
      <c r="A15" s="51" t="s">
        <v>95</v>
      </c>
      <c r="B15" s="44">
        <v>75</v>
      </c>
      <c r="C15" s="43">
        <v>454</v>
      </c>
      <c r="D15" s="43">
        <v>529</v>
      </c>
      <c r="E15" s="81">
        <v>14.18</v>
      </c>
      <c r="F15" s="80">
        <v>0.32</v>
      </c>
      <c r="G15" s="54"/>
    </row>
    <row r="16" spans="1:7">
      <c r="A16" s="51" t="s">
        <v>96</v>
      </c>
      <c r="B16" s="44">
        <v>106</v>
      </c>
      <c r="C16" s="43">
        <v>17650</v>
      </c>
      <c r="D16" s="43">
        <v>17756</v>
      </c>
      <c r="E16" s="81">
        <v>0.6</v>
      </c>
      <c r="F16" s="80">
        <v>10.83</v>
      </c>
      <c r="G16" s="54"/>
    </row>
    <row r="17" spans="1:7">
      <c r="A17" s="51" t="s">
        <v>97</v>
      </c>
      <c r="B17" s="44">
        <v>279</v>
      </c>
      <c r="C17" s="43">
        <v>8504</v>
      </c>
      <c r="D17" s="43">
        <v>8783</v>
      </c>
      <c r="E17" s="81">
        <v>3.18</v>
      </c>
      <c r="F17" s="80">
        <v>5.36</v>
      </c>
      <c r="G17" s="54"/>
    </row>
    <row r="18" spans="1:7">
      <c r="A18" s="50" t="s">
        <v>98</v>
      </c>
      <c r="B18" s="44">
        <v>19</v>
      </c>
      <c r="C18" s="43">
        <v>488</v>
      </c>
      <c r="D18" s="43">
        <v>507</v>
      </c>
      <c r="E18" s="81">
        <v>3.75</v>
      </c>
      <c r="F18" s="80">
        <v>0.31</v>
      </c>
      <c r="G18" s="54"/>
    </row>
    <row r="19" spans="1:7">
      <c r="A19" s="50" t="s">
        <v>99</v>
      </c>
      <c r="B19" s="44">
        <v>1114</v>
      </c>
      <c r="C19" s="43">
        <v>1842</v>
      </c>
      <c r="D19" s="43">
        <v>2956</v>
      </c>
      <c r="E19" s="81">
        <v>37.69</v>
      </c>
      <c r="F19" s="80">
        <v>1.8</v>
      </c>
      <c r="G19" s="54"/>
    </row>
    <row r="20" spans="1:7">
      <c r="A20" s="50" t="s">
        <v>100</v>
      </c>
      <c r="B20" s="44">
        <v>112</v>
      </c>
      <c r="C20" s="43">
        <v>528</v>
      </c>
      <c r="D20" s="43">
        <v>640</v>
      </c>
      <c r="E20" s="81">
        <v>17.5</v>
      </c>
      <c r="F20" s="80">
        <v>0.39</v>
      </c>
      <c r="G20" s="54"/>
    </row>
    <row r="21" spans="1:7">
      <c r="A21" s="51" t="s">
        <v>101</v>
      </c>
      <c r="B21" s="71"/>
      <c r="C21" s="72"/>
      <c r="D21" s="43">
        <v>0</v>
      </c>
      <c r="E21" s="81">
        <v>0</v>
      </c>
      <c r="F21" s="80">
        <v>0</v>
      </c>
      <c r="G21" s="54"/>
    </row>
    <row r="22" spans="1:7">
      <c r="A22" s="51" t="s">
        <v>102</v>
      </c>
      <c r="B22" s="44">
        <v>2861</v>
      </c>
      <c r="C22" s="43">
        <v>23640</v>
      </c>
      <c r="D22" s="43">
        <v>26501</v>
      </c>
      <c r="E22" s="81">
        <v>10.8</v>
      </c>
      <c r="F22" s="80">
        <v>16.16</v>
      </c>
      <c r="G22" s="54"/>
    </row>
    <row r="23" spans="1:7">
      <c r="A23" s="51" t="s">
        <v>103</v>
      </c>
      <c r="B23" s="44">
        <v>551</v>
      </c>
      <c r="C23" s="43">
        <v>11</v>
      </c>
      <c r="D23" s="43">
        <v>562</v>
      </c>
      <c r="E23" s="81">
        <v>98.04</v>
      </c>
      <c r="F23" s="80">
        <v>0.34</v>
      </c>
      <c r="G23" s="54"/>
    </row>
    <row r="24" spans="1:7">
      <c r="A24" s="51" t="s">
        <v>104</v>
      </c>
      <c r="B24" s="44">
        <v>5595</v>
      </c>
      <c r="C24" s="43">
        <v>11172</v>
      </c>
      <c r="D24" s="43">
        <v>16767</v>
      </c>
      <c r="E24" s="81">
        <v>33.369999999999997</v>
      </c>
      <c r="F24" s="80">
        <v>10.220000000000001</v>
      </c>
      <c r="G24" s="54"/>
    </row>
    <row r="25" spans="1:7">
      <c r="A25" s="51" t="s">
        <v>105</v>
      </c>
      <c r="B25" s="44">
        <v>20</v>
      </c>
      <c r="C25" s="43">
        <v>132</v>
      </c>
      <c r="D25" s="43">
        <v>152</v>
      </c>
      <c r="E25" s="81">
        <v>13.16</v>
      </c>
      <c r="F25" s="80">
        <v>0.09</v>
      </c>
      <c r="G25" s="54"/>
    </row>
    <row r="26" spans="1:7">
      <c r="A26" s="51" t="s">
        <v>106</v>
      </c>
      <c r="B26" s="44">
        <v>101</v>
      </c>
      <c r="C26" s="43">
        <v>817</v>
      </c>
      <c r="D26" s="43">
        <v>918</v>
      </c>
      <c r="E26" s="81">
        <v>11</v>
      </c>
      <c r="F26" s="80">
        <v>0.56000000000000005</v>
      </c>
      <c r="G26" s="54"/>
    </row>
    <row r="27" spans="1:7">
      <c r="A27" s="51" t="s">
        <v>107</v>
      </c>
      <c r="B27" s="44">
        <v>891</v>
      </c>
      <c r="C27" s="43">
        <v>457</v>
      </c>
      <c r="D27" s="43">
        <v>1348</v>
      </c>
      <c r="E27" s="81">
        <v>66.099999999999994</v>
      </c>
      <c r="F27" s="80">
        <v>0.82</v>
      </c>
      <c r="G27" s="54"/>
    </row>
    <row r="28" spans="1:7">
      <c r="A28" s="51" t="s">
        <v>108</v>
      </c>
      <c r="B28" s="44">
        <v>172</v>
      </c>
      <c r="C28" s="43">
        <v>275</v>
      </c>
      <c r="D28" s="43">
        <v>447</v>
      </c>
      <c r="E28" s="81">
        <v>38.479999999999997</v>
      </c>
      <c r="F28" s="80">
        <v>0.27</v>
      </c>
      <c r="G28" s="54"/>
    </row>
    <row r="29" spans="1:7">
      <c r="A29" s="50" t="s">
        <v>109</v>
      </c>
      <c r="B29" s="44">
        <v>235</v>
      </c>
      <c r="C29" s="43">
        <v>1183</v>
      </c>
      <c r="D29" s="43">
        <v>1418</v>
      </c>
      <c r="E29" s="81">
        <v>16.57</v>
      </c>
      <c r="F29" s="80">
        <v>0.86</v>
      </c>
      <c r="G29" s="54"/>
    </row>
    <row r="30" spans="1:7">
      <c r="A30" s="51" t="s">
        <v>110</v>
      </c>
      <c r="B30" s="44">
        <v>371</v>
      </c>
      <c r="C30" s="43">
        <v>985</v>
      </c>
      <c r="D30" s="43">
        <v>1356</v>
      </c>
      <c r="E30" s="81">
        <v>27.36</v>
      </c>
      <c r="F30" s="80">
        <v>0.83</v>
      </c>
      <c r="G30" s="54"/>
    </row>
    <row r="31" spans="1:7">
      <c r="A31" s="50" t="s">
        <v>111</v>
      </c>
      <c r="B31" s="44">
        <v>47</v>
      </c>
      <c r="C31" s="43">
        <v>105</v>
      </c>
      <c r="D31" s="43">
        <v>152</v>
      </c>
      <c r="E31" s="81">
        <v>30.92</v>
      </c>
      <c r="F31" s="80">
        <v>0.09</v>
      </c>
      <c r="G31" s="54"/>
    </row>
    <row r="32" spans="1:7">
      <c r="A32" s="51" t="s">
        <v>112</v>
      </c>
      <c r="B32" s="44">
        <v>8850</v>
      </c>
      <c r="C32" s="43">
        <v>23098</v>
      </c>
      <c r="D32" s="43">
        <v>31948</v>
      </c>
      <c r="E32" s="81">
        <v>27.7</v>
      </c>
      <c r="F32" s="80">
        <v>19.48</v>
      </c>
      <c r="G32" s="54"/>
    </row>
    <row r="33" spans="1:7">
      <c r="A33" s="51" t="s">
        <v>113</v>
      </c>
      <c r="B33" s="44">
        <v>9</v>
      </c>
      <c r="C33" s="43">
        <v>559</v>
      </c>
      <c r="D33" s="43">
        <v>568</v>
      </c>
      <c r="E33" s="81">
        <v>1.58</v>
      </c>
      <c r="F33" s="80">
        <v>0.35</v>
      </c>
      <c r="G33" s="54"/>
    </row>
    <row r="34" spans="1:7">
      <c r="A34" s="51" t="s">
        <v>114</v>
      </c>
      <c r="B34" s="44">
        <v>854</v>
      </c>
      <c r="C34" s="43">
        <v>1275</v>
      </c>
      <c r="D34" s="43">
        <v>2129</v>
      </c>
      <c r="E34" s="81">
        <v>40.11</v>
      </c>
      <c r="F34" s="80">
        <v>1.3</v>
      </c>
      <c r="G34" s="54"/>
    </row>
    <row r="35" spans="1:7">
      <c r="A35" s="51" t="s">
        <v>115</v>
      </c>
      <c r="B35" s="44">
        <v>1118</v>
      </c>
      <c r="C35" s="43">
        <v>2084</v>
      </c>
      <c r="D35" s="43">
        <v>3202</v>
      </c>
      <c r="E35" s="81">
        <v>34.92</v>
      </c>
      <c r="F35" s="80">
        <v>1.95</v>
      </c>
      <c r="G35" s="54"/>
    </row>
    <row r="36" spans="1:7">
      <c r="A36" s="51" t="s">
        <v>116</v>
      </c>
      <c r="B36" s="44">
        <v>131</v>
      </c>
      <c r="C36" s="43">
        <v>467</v>
      </c>
      <c r="D36" s="43">
        <v>598</v>
      </c>
      <c r="E36" s="81">
        <v>21.91</v>
      </c>
      <c r="F36" s="80">
        <v>0.36</v>
      </c>
      <c r="G36" s="54"/>
    </row>
    <row r="37" spans="1:7">
      <c r="A37" s="50" t="s">
        <v>117</v>
      </c>
      <c r="B37" s="44">
        <v>160</v>
      </c>
      <c r="C37" s="43">
        <v>2337</v>
      </c>
      <c r="D37" s="43">
        <v>2497</v>
      </c>
      <c r="E37" s="81">
        <v>6.41</v>
      </c>
      <c r="F37" s="80">
        <v>1.52</v>
      </c>
      <c r="G37" s="54"/>
    </row>
    <row r="38" spans="1:7">
      <c r="A38" s="50" t="s">
        <v>118</v>
      </c>
      <c r="B38" s="44">
        <v>52</v>
      </c>
      <c r="C38" s="43">
        <v>1381</v>
      </c>
      <c r="D38" s="43">
        <v>1433</v>
      </c>
      <c r="E38" s="81">
        <v>3.63</v>
      </c>
      <c r="F38" s="80">
        <v>0.87</v>
      </c>
      <c r="G38" s="54"/>
    </row>
    <row r="39" spans="1:7">
      <c r="A39" s="51" t="s">
        <v>119</v>
      </c>
      <c r="B39" s="44">
        <v>37</v>
      </c>
      <c r="C39" s="43">
        <v>157</v>
      </c>
      <c r="D39" s="43">
        <v>194</v>
      </c>
      <c r="E39" s="81">
        <v>19.07</v>
      </c>
      <c r="F39" s="80">
        <v>0.12</v>
      </c>
      <c r="G39" s="54"/>
    </row>
    <row r="40" spans="1:7">
      <c r="A40" s="51" t="s">
        <v>120</v>
      </c>
      <c r="B40" s="44">
        <v>189</v>
      </c>
      <c r="C40" s="43">
        <v>948</v>
      </c>
      <c r="D40" s="43">
        <v>1137</v>
      </c>
      <c r="E40" s="81">
        <v>16.62</v>
      </c>
      <c r="F40" s="80">
        <v>0.69</v>
      </c>
      <c r="G40" s="54"/>
    </row>
    <row r="41" spans="1:7">
      <c r="A41" s="51" t="s">
        <v>121</v>
      </c>
      <c r="B41" s="44">
        <v>465</v>
      </c>
      <c r="C41" s="43">
        <v>2035</v>
      </c>
      <c r="D41" s="43">
        <v>2500</v>
      </c>
      <c r="E41" s="81">
        <v>18.600000000000001</v>
      </c>
      <c r="F41" s="80">
        <v>1.52</v>
      </c>
      <c r="G41" s="54"/>
    </row>
    <row r="42" spans="1:7">
      <c r="A42" s="51" t="s">
        <v>122</v>
      </c>
      <c r="B42" s="44">
        <v>131</v>
      </c>
      <c r="C42" s="43">
        <v>1405</v>
      </c>
      <c r="D42" s="43">
        <v>1536</v>
      </c>
      <c r="E42" s="81">
        <v>8.5299999999999994</v>
      </c>
      <c r="F42" s="80">
        <v>0.94</v>
      </c>
      <c r="G42" s="54"/>
    </row>
    <row r="43" spans="1:7">
      <c r="A43" s="51" t="s">
        <v>123</v>
      </c>
      <c r="B43" s="44">
        <v>17</v>
      </c>
      <c r="C43" s="43">
        <v>208</v>
      </c>
      <c r="D43" s="43">
        <v>225</v>
      </c>
      <c r="E43" s="81">
        <v>7.56</v>
      </c>
      <c r="F43" s="80">
        <v>0.14000000000000001</v>
      </c>
      <c r="G43" s="54"/>
    </row>
    <row r="44" spans="1:7">
      <c r="A44" s="51" t="s">
        <v>124</v>
      </c>
      <c r="B44" s="44">
        <v>516</v>
      </c>
      <c r="C44" s="43">
        <v>2743</v>
      </c>
      <c r="D44" s="43">
        <v>3259</v>
      </c>
      <c r="E44" s="81">
        <v>15.83</v>
      </c>
      <c r="F44" s="80">
        <v>1.99</v>
      </c>
      <c r="G44" s="54"/>
    </row>
    <row r="45" spans="1:7">
      <c r="A45" s="51" t="s">
        <v>125</v>
      </c>
      <c r="B45" s="44">
        <v>210</v>
      </c>
      <c r="C45" s="43">
        <v>422</v>
      </c>
      <c r="D45" s="43">
        <v>632</v>
      </c>
      <c r="E45" s="81">
        <v>33.229999999999997</v>
      </c>
      <c r="F45" s="80">
        <v>0.39</v>
      </c>
      <c r="G45" s="54"/>
    </row>
    <row r="46" spans="1:7">
      <c r="A46" s="51" t="s">
        <v>126</v>
      </c>
      <c r="B46" s="44">
        <v>164</v>
      </c>
      <c r="C46" s="43">
        <v>645</v>
      </c>
      <c r="D46" s="43">
        <v>809</v>
      </c>
      <c r="E46" s="81">
        <v>20.27</v>
      </c>
      <c r="F46" s="80">
        <v>0.49</v>
      </c>
      <c r="G46" s="54"/>
    </row>
    <row r="47" spans="1:7">
      <c r="A47" s="50" t="s">
        <v>127</v>
      </c>
      <c r="B47" s="44">
        <v>39</v>
      </c>
      <c r="C47" s="43">
        <v>290</v>
      </c>
      <c r="D47" s="43">
        <v>329</v>
      </c>
      <c r="E47" s="81">
        <v>11.85</v>
      </c>
      <c r="F47" s="80">
        <v>0.2</v>
      </c>
      <c r="G47" s="54"/>
    </row>
    <row r="48" spans="1:7">
      <c r="A48" s="50" t="s">
        <v>128</v>
      </c>
      <c r="B48" s="71"/>
      <c r="C48" s="72"/>
      <c r="D48" s="43">
        <v>0</v>
      </c>
      <c r="E48" s="82"/>
      <c r="F48" s="80">
        <v>0</v>
      </c>
      <c r="G48" s="54"/>
    </row>
    <row r="49" spans="1:7">
      <c r="A49" s="50" t="s">
        <v>129</v>
      </c>
      <c r="B49" s="44">
        <v>181</v>
      </c>
      <c r="C49" s="43">
        <v>2617</v>
      </c>
      <c r="D49" s="43">
        <v>2798</v>
      </c>
      <c r="E49" s="81">
        <v>6.47</v>
      </c>
      <c r="F49" s="80">
        <v>1.71</v>
      </c>
      <c r="G49" s="54"/>
    </row>
    <row r="50" spans="1:7">
      <c r="A50" s="50" t="s">
        <v>130</v>
      </c>
      <c r="B50" s="44">
        <v>271</v>
      </c>
      <c r="C50" s="43">
        <v>2128</v>
      </c>
      <c r="D50" s="43">
        <v>2399</v>
      </c>
      <c r="E50" s="81">
        <v>11.3</v>
      </c>
      <c r="F50" s="80">
        <v>1.46</v>
      </c>
      <c r="G50" s="54"/>
    </row>
    <row r="51" spans="1:7">
      <c r="A51" s="51" t="s">
        <v>131</v>
      </c>
      <c r="B51" s="44">
        <v>238</v>
      </c>
      <c r="C51" s="43">
        <v>1156</v>
      </c>
      <c r="D51" s="43">
        <v>1394</v>
      </c>
      <c r="E51" s="81">
        <v>17.07</v>
      </c>
      <c r="F51" s="80">
        <v>0.85</v>
      </c>
      <c r="G51" s="54"/>
    </row>
    <row r="52" spans="1:7">
      <c r="A52" s="51" t="s">
        <v>132</v>
      </c>
      <c r="B52" s="104">
        <v>691</v>
      </c>
      <c r="C52" s="105">
        <v>78</v>
      </c>
      <c r="D52" s="105">
        <v>769</v>
      </c>
      <c r="E52" s="106">
        <v>89.86</v>
      </c>
      <c r="F52" s="80">
        <v>0.47</v>
      </c>
      <c r="G52" s="54"/>
    </row>
    <row r="53" spans="1:7">
      <c r="A53" s="85"/>
      <c r="B53" s="107">
        <f>SUM(B6:B52)</f>
        <v>33450</v>
      </c>
      <c r="C53" s="107">
        <f>SUM(C6:C52)</f>
        <v>130540</v>
      </c>
      <c r="D53" s="107">
        <f>SUM(D6:D52)</f>
        <v>163990</v>
      </c>
      <c r="E53" s="33">
        <f>(B53*100)/D53</f>
        <v>20.397585218610892</v>
      </c>
      <c r="F53" s="67"/>
      <c r="G53" s="54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26" sqref="E26"/>
    </sheetView>
  </sheetViews>
  <sheetFormatPr defaultRowHeight="12.75"/>
  <cols>
    <col min="1" max="1" width="21.28515625" customWidth="1"/>
    <col min="3" max="3" width="11.5703125" customWidth="1"/>
    <col min="4" max="4" width="10.85546875" bestFit="1" customWidth="1"/>
    <col min="5" max="5" width="10.140625" customWidth="1"/>
    <col min="6" max="6" width="11.140625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142</v>
      </c>
      <c r="B2" s="155"/>
      <c r="C2" s="155"/>
      <c r="D2" s="155"/>
      <c r="E2" s="155"/>
      <c r="F2" s="155"/>
    </row>
    <row r="3" spans="1:6" ht="15">
      <c r="A3" s="156" t="s">
        <v>138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21" customHeight="1">
      <c r="A5" s="45" t="s">
        <v>80</v>
      </c>
      <c r="B5" s="46" t="s">
        <v>81</v>
      </c>
      <c r="C5" s="53" t="s">
        <v>82</v>
      </c>
      <c r="D5" s="48" t="s">
        <v>83</v>
      </c>
      <c r="E5" s="46" t="s">
        <v>84</v>
      </c>
      <c r="F5" s="49" t="s">
        <v>85</v>
      </c>
    </row>
    <row r="6" spans="1:6">
      <c r="A6" s="50" t="s">
        <v>86</v>
      </c>
      <c r="B6" s="74">
        <v>280</v>
      </c>
      <c r="C6" s="79">
        <v>1712</v>
      </c>
      <c r="D6" s="79">
        <v>1992</v>
      </c>
      <c r="E6" s="75">
        <v>14.06</v>
      </c>
      <c r="F6" s="76">
        <v>1.2</v>
      </c>
    </row>
    <row r="7" spans="1:6">
      <c r="A7" s="51" t="s">
        <v>87</v>
      </c>
      <c r="B7" s="74">
        <v>299</v>
      </c>
      <c r="C7" s="79">
        <v>2412</v>
      </c>
      <c r="D7" s="79">
        <v>2711</v>
      </c>
      <c r="E7" s="75">
        <v>11.03</v>
      </c>
      <c r="F7" s="76">
        <v>1.64</v>
      </c>
    </row>
    <row r="8" spans="1:6">
      <c r="A8" s="51" t="s">
        <v>88</v>
      </c>
      <c r="B8" s="77">
        <v>1047</v>
      </c>
      <c r="C8" s="79">
        <v>1693</v>
      </c>
      <c r="D8" s="79">
        <v>2740</v>
      </c>
      <c r="E8" s="75">
        <v>38.21</v>
      </c>
      <c r="F8" s="76">
        <v>1.65</v>
      </c>
    </row>
    <row r="9" spans="1:6">
      <c r="A9" s="51" t="s">
        <v>89</v>
      </c>
      <c r="B9" s="74">
        <v>52</v>
      </c>
      <c r="C9" s="78">
        <v>745</v>
      </c>
      <c r="D9" s="78">
        <v>797</v>
      </c>
      <c r="E9" s="75">
        <v>6.52</v>
      </c>
      <c r="F9" s="76">
        <v>0.48</v>
      </c>
    </row>
    <row r="10" spans="1:6">
      <c r="A10" s="51" t="s">
        <v>90</v>
      </c>
      <c r="B10" s="74">
        <v>111</v>
      </c>
      <c r="C10" s="78">
        <v>174</v>
      </c>
      <c r="D10" s="78">
        <v>285</v>
      </c>
      <c r="E10" s="75">
        <v>38.950000000000003</v>
      </c>
      <c r="F10" s="76">
        <v>0.17</v>
      </c>
    </row>
    <row r="11" spans="1:6">
      <c r="A11" s="51" t="s">
        <v>91</v>
      </c>
      <c r="B11" s="77">
        <v>3456</v>
      </c>
      <c r="C11" s="79">
        <v>4708</v>
      </c>
      <c r="D11" s="79">
        <v>8164</v>
      </c>
      <c r="E11" s="75">
        <v>42.33</v>
      </c>
      <c r="F11" s="76">
        <v>4.93</v>
      </c>
    </row>
    <row r="12" spans="1:6">
      <c r="A12" s="51" t="s">
        <v>92</v>
      </c>
      <c r="B12" s="77">
        <v>1315</v>
      </c>
      <c r="C12" s="79">
        <v>2549</v>
      </c>
      <c r="D12" s="79">
        <v>3864</v>
      </c>
      <c r="E12" s="75">
        <v>34.03</v>
      </c>
      <c r="F12" s="76">
        <v>2.33</v>
      </c>
    </row>
    <row r="13" spans="1:6">
      <c r="A13" s="50" t="s">
        <v>93</v>
      </c>
      <c r="B13" s="74">
        <v>75</v>
      </c>
      <c r="C13" s="78">
        <v>89</v>
      </c>
      <c r="D13" s="78">
        <v>164</v>
      </c>
      <c r="E13" s="75">
        <v>45.73</v>
      </c>
      <c r="F13" s="76">
        <v>0.1</v>
      </c>
    </row>
    <row r="14" spans="1:6">
      <c r="A14" s="51" t="s">
        <v>94</v>
      </c>
      <c r="B14" s="74">
        <v>345</v>
      </c>
      <c r="C14" s="79">
        <v>2082</v>
      </c>
      <c r="D14" s="79">
        <v>2427</v>
      </c>
      <c r="E14" s="75">
        <v>14.22</v>
      </c>
      <c r="F14" s="76">
        <v>1.47</v>
      </c>
    </row>
    <row r="15" spans="1:6">
      <c r="A15" s="51" t="s">
        <v>95</v>
      </c>
      <c r="B15" s="74">
        <v>82</v>
      </c>
      <c r="C15" s="78">
        <v>549</v>
      </c>
      <c r="D15" s="78">
        <v>631</v>
      </c>
      <c r="E15" s="75">
        <v>13</v>
      </c>
      <c r="F15" s="76">
        <v>0.38</v>
      </c>
    </row>
    <row r="16" spans="1:6">
      <c r="A16" s="51" t="s">
        <v>96</v>
      </c>
      <c r="B16" s="74">
        <v>108</v>
      </c>
      <c r="C16" s="79">
        <v>17806</v>
      </c>
      <c r="D16" s="79">
        <v>17914</v>
      </c>
      <c r="E16" s="75">
        <v>0.6</v>
      </c>
      <c r="F16" s="76">
        <v>10.82</v>
      </c>
    </row>
    <row r="17" spans="1:6">
      <c r="A17" s="51" t="s">
        <v>97</v>
      </c>
      <c r="B17" s="74">
        <v>246</v>
      </c>
      <c r="C17" s="79">
        <v>7637</v>
      </c>
      <c r="D17" s="79">
        <v>7883</v>
      </c>
      <c r="E17" s="75">
        <v>3.12</v>
      </c>
      <c r="F17" s="76">
        <v>4.76</v>
      </c>
    </row>
    <row r="18" spans="1:6">
      <c r="A18" s="50" t="s">
        <v>98</v>
      </c>
      <c r="B18" s="74">
        <v>13</v>
      </c>
      <c r="C18" s="78">
        <v>489</v>
      </c>
      <c r="D18" s="78">
        <v>502</v>
      </c>
      <c r="E18" s="75">
        <v>2.59</v>
      </c>
      <c r="F18" s="76">
        <v>0.3</v>
      </c>
    </row>
    <row r="19" spans="1:6">
      <c r="A19" s="50" t="s">
        <v>99</v>
      </c>
      <c r="B19" s="77">
        <v>1148</v>
      </c>
      <c r="C19" s="79">
        <v>1890</v>
      </c>
      <c r="D19" s="79">
        <v>3038</v>
      </c>
      <c r="E19" s="75">
        <v>37.79</v>
      </c>
      <c r="F19" s="76">
        <v>1.83</v>
      </c>
    </row>
    <row r="20" spans="1:6">
      <c r="A20" s="50" t="s">
        <v>100</v>
      </c>
      <c r="B20" s="74">
        <v>90</v>
      </c>
      <c r="C20" s="78">
        <v>397</v>
      </c>
      <c r="D20" s="78">
        <v>487</v>
      </c>
      <c r="E20" s="75">
        <v>18.48</v>
      </c>
      <c r="F20" s="76">
        <v>0.28999999999999998</v>
      </c>
    </row>
    <row r="21" spans="1:6">
      <c r="A21" s="51" t="s">
        <v>101</v>
      </c>
      <c r="B21" s="74">
        <v>24</v>
      </c>
      <c r="C21" s="78">
        <v>89</v>
      </c>
      <c r="D21" s="78">
        <v>113</v>
      </c>
      <c r="E21" s="75">
        <v>0</v>
      </c>
      <c r="F21" s="76">
        <v>7.0000000000000007E-2</v>
      </c>
    </row>
    <row r="22" spans="1:6">
      <c r="A22" s="51" t="s">
        <v>102</v>
      </c>
      <c r="B22" s="77">
        <v>2979</v>
      </c>
      <c r="C22" s="79">
        <v>23957</v>
      </c>
      <c r="D22" s="79">
        <v>26936</v>
      </c>
      <c r="E22" s="75">
        <v>11.06</v>
      </c>
      <c r="F22" s="76">
        <v>16.260000000000002</v>
      </c>
    </row>
    <row r="23" spans="1:6">
      <c r="A23" s="51" t="s">
        <v>103</v>
      </c>
      <c r="B23" s="74">
        <v>621</v>
      </c>
      <c r="C23" s="78">
        <v>18</v>
      </c>
      <c r="D23" s="78">
        <v>639</v>
      </c>
      <c r="E23" s="75">
        <v>97.18</v>
      </c>
      <c r="F23" s="76">
        <v>0.39</v>
      </c>
    </row>
    <row r="24" spans="1:6">
      <c r="A24" s="51" t="s">
        <v>104</v>
      </c>
      <c r="B24" s="77">
        <v>5434</v>
      </c>
      <c r="C24" s="79">
        <v>10906</v>
      </c>
      <c r="D24" s="79">
        <v>16340</v>
      </c>
      <c r="E24" s="75">
        <v>33.26</v>
      </c>
      <c r="F24" s="76">
        <v>9.8699999999999992</v>
      </c>
    </row>
    <row r="25" spans="1:6">
      <c r="A25" s="51" t="s">
        <v>105</v>
      </c>
      <c r="B25" s="74">
        <v>35</v>
      </c>
      <c r="C25" s="78">
        <v>151</v>
      </c>
      <c r="D25" s="78">
        <v>186</v>
      </c>
      <c r="E25" s="75">
        <v>18.82</v>
      </c>
      <c r="F25" s="76">
        <v>0.11</v>
      </c>
    </row>
    <row r="26" spans="1:6">
      <c r="A26" s="51" t="s">
        <v>106</v>
      </c>
      <c r="B26" s="74">
        <v>109</v>
      </c>
      <c r="C26" s="78">
        <v>808</v>
      </c>
      <c r="D26" s="78">
        <v>917</v>
      </c>
      <c r="E26" s="75">
        <v>11.89</v>
      </c>
      <c r="F26" s="76">
        <v>0.55000000000000004</v>
      </c>
    </row>
    <row r="27" spans="1:6">
      <c r="A27" s="51" t="s">
        <v>107</v>
      </c>
      <c r="B27" s="74">
        <v>928</v>
      </c>
      <c r="C27" s="78">
        <v>447</v>
      </c>
      <c r="D27" s="79">
        <v>1375</v>
      </c>
      <c r="E27" s="75">
        <v>67.489999999999995</v>
      </c>
      <c r="F27" s="76">
        <v>0.83</v>
      </c>
    </row>
    <row r="28" spans="1:6">
      <c r="A28" s="51" t="s">
        <v>108</v>
      </c>
      <c r="B28" s="74">
        <v>157</v>
      </c>
      <c r="C28" s="78">
        <v>366</v>
      </c>
      <c r="D28" s="78">
        <v>523</v>
      </c>
      <c r="E28" s="75">
        <v>30.02</v>
      </c>
      <c r="F28" s="76">
        <v>0.32</v>
      </c>
    </row>
    <row r="29" spans="1:6">
      <c r="A29" s="50" t="s">
        <v>109</v>
      </c>
      <c r="B29" s="74">
        <v>257</v>
      </c>
      <c r="C29" s="79">
        <v>1154</v>
      </c>
      <c r="D29" s="79">
        <v>1411</v>
      </c>
      <c r="E29" s="75">
        <v>18.21</v>
      </c>
      <c r="F29" s="76">
        <v>0.85</v>
      </c>
    </row>
    <row r="30" spans="1:6">
      <c r="A30" s="51" t="s">
        <v>110</v>
      </c>
      <c r="B30" s="74">
        <v>471</v>
      </c>
      <c r="C30" s="78">
        <v>975</v>
      </c>
      <c r="D30" s="79">
        <v>1446</v>
      </c>
      <c r="E30" s="75">
        <v>32.57</v>
      </c>
      <c r="F30" s="76">
        <v>0.87</v>
      </c>
    </row>
    <row r="31" spans="1:6">
      <c r="A31" s="50" t="s">
        <v>111</v>
      </c>
      <c r="B31" s="74">
        <v>33</v>
      </c>
      <c r="C31" s="78">
        <v>125</v>
      </c>
      <c r="D31" s="78">
        <v>158</v>
      </c>
      <c r="E31" s="75">
        <v>20.89</v>
      </c>
      <c r="F31" s="76">
        <v>0.1</v>
      </c>
    </row>
    <row r="32" spans="1:6">
      <c r="A32" s="51" t="s">
        <v>112</v>
      </c>
      <c r="B32" s="77">
        <v>9156</v>
      </c>
      <c r="C32" s="79">
        <v>23388</v>
      </c>
      <c r="D32" s="79">
        <v>32544</v>
      </c>
      <c r="E32" s="75">
        <v>28.13</v>
      </c>
      <c r="F32" s="76">
        <v>19.649999999999999</v>
      </c>
    </row>
    <row r="33" spans="1:6">
      <c r="A33" s="51" t="s">
        <v>113</v>
      </c>
      <c r="B33" s="74">
        <v>9</v>
      </c>
      <c r="C33" s="78">
        <v>465</v>
      </c>
      <c r="D33" s="78">
        <v>474</v>
      </c>
      <c r="E33" s="75">
        <v>1.9</v>
      </c>
      <c r="F33" s="76">
        <v>0.28999999999999998</v>
      </c>
    </row>
    <row r="34" spans="1:6">
      <c r="A34" s="51" t="s">
        <v>114</v>
      </c>
      <c r="B34" s="74">
        <v>954</v>
      </c>
      <c r="C34" s="79">
        <v>1501</v>
      </c>
      <c r="D34" s="79">
        <v>2455</v>
      </c>
      <c r="E34" s="75">
        <v>38.86</v>
      </c>
      <c r="F34" s="76">
        <v>1.48</v>
      </c>
    </row>
    <row r="35" spans="1:6">
      <c r="A35" s="51" t="s">
        <v>115</v>
      </c>
      <c r="B35" s="77">
        <v>1096</v>
      </c>
      <c r="C35" s="79">
        <v>2088</v>
      </c>
      <c r="D35" s="79">
        <v>3184</v>
      </c>
      <c r="E35" s="75">
        <v>34.42</v>
      </c>
      <c r="F35" s="76">
        <v>1.92</v>
      </c>
    </row>
    <row r="36" spans="1:6">
      <c r="A36" s="51" t="s">
        <v>116</v>
      </c>
      <c r="B36" s="74">
        <v>137</v>
      </c>
      <c r="C36" s="78">
        <v>390</v>
      </c>
      <c r="D36" s="78">
        <v>527</v>
      </c>
      <c r="E36" s="75">
        <v>26</v>
      </c>
      <c r="F36" s="76">
        <v>0.32</v>
      </c>
    </row>
    <row r="37" spans="1:6">
      <c r="A37" s="50" t="s">
        <v>117</v>
      </c>
      <c r="B37" s="74">
        <v>171</v>
      </c>
      <c r="C37" s="79">
        <v>2257</v>
      </c>
      <c r="D37" s="79">
        <v>2428</v>
      </c>
      <c r="E37" s="75">
        <v>7.04</v>
      </c>
      <c r="F37" s="76">
        <v>1.47</v>
      </c>
    </row>
    <row r="38" spans="1:6">
      <c r="A38" s="50" t="s">
        <v>118</v>
      </c>
      <c r="B38" s="74">
        <v>43</v>
      </c>
      <c r="C38" s="79">
        <v>1332</v>
      </c>
      <c r="D38" s="79">
        <v>1375</v>
      </c>
      <c r="E38" s="75">
        <v>3.13</v>
      </c>
      <c r="F38" s="76">
        <v>0.83</v>
      </c>
    </row>
    <row r="39" spans="1:6">
      <c r="A39" s="51" t="s">
        <v>119</v>
      </c>
      <c r="B39" s="74">
        <v>32</v>
      </c>
      <c r="C39" s="78">
        <v>164</v>
      </c>
      <c r="D39" s="78">
        <v>196</v>
      </c>
      <c r="E39" s="75">
        <v>16.329999999999998</v>
      </c>
      <c r="F39" s="76">
        <v>0.12</v>
      </c>
    </row>
    <row r="40" spans="1:6">
      <c r="A40" s="51" t="s">
        <v>120</v>
      </c>
      <c r="B40" s="74">
        <v>211</v>
      </c>
      <c r="C40" s="78">
        <v>872</v>
      </c>
      <c r="D40" s="79">
        <v>1083</v>
      </c>
      <c r="E40" s="75">
        <v>19.48</v>
      </c>
      <c r="F40" s="76">
        <v>0.65</v>
      </c>
    </row>
    <row r="41" spans="1:6">
      <c r="A41" s="51" t="s">
        <v>121</v>
      </c>
      <c r="B41" s="74">
        <v>503</v>
      </c>
      <c r="C41" s="79">
        <v>1975</v>
      </c>
      <c r="D41" s="79">
        <v>2478</v>
      </c>
      <c r="E41" s="75">
        <v>20.3</v>
      </c>
      <c r="F41" s="76">
        <v>1.5</v>
      </c>
    </row>
    <row r="42" spans="1:6">
      <c r="A42" s="51" t="s">
        <v>122</v>
      </c>
      <c r="B42" s="74">
        <v>145</v>
      </c>
      <c r="C42" s="79">
        <v>1452</v>
      </c>
      <c r="D42" s="79">
        <v>1597</v>
      </c>
      <c r="E42" s="75">
        <v>9.08</v>
      </c>
      <c r="F42" s="76">
        <v>0.96</v>
      </c>
    </row>
    <row r="43" spans="1:6">
      <c r="A43" s="51" t="s">
        <v>123</v>
      </c>
      <c r="B43" s="74">
        <v>28</v>
      </c>
      <c r="C43" s="78">
        <v>199</v>
      </c>
      <c r="D43" s="78">
        <v>227</v>
      </c>
      <c r="E43" s="75">
        <v>12.33</v>
      </c>
      <c r="F43" s="76">
        <v>0.14000000000000001</v>
      </c>
    </row>
    <row r="44" spans="1:6">
      <c r="A44" s="51" t="s">
        <v>124</v>
      </c>
      <c r="B44" s="74">
        <v>571</v>
      </c>
      <c r="C44" s="79">
        <v>2990</v>
      </c>
      <c r="D44" s="79">
        <v>3561</v>
      </c>
      <c r="E44" s="75">
        <v>16.03</v>
      </c>
      <c r="F44" s="76">
        <v>2.15</v>
      </c>
    </row>
    <row r="45" spans="1:6">
      <c r="A45" s="51" t="s">
        <v>125</v>
      </c>
      <c r="B45" s="74">
        <v>172</v>
      </c>
      <c r="C45" s="78">
        <v>416</v>
      </c>
      <c r="D45" s="78">
        <v>588</v>
      </c>
      <c r="E45" s="75">
        <v>29.25</v>
      </c>
      <c r="F45" s="76">
        <v>0.36</v>
      </c>
    </row>
    <row r="46" spans="1:6">
      <c r="A46" s="51" t="s">
        <v>126</v>
      </c>
      <c r="B46" s="74">
        <v>189</v>
      </c>
      <c r="C46" s="78">
        <v>696</v>
      </c>
      <c r="D46" s="78">
        <v>885</v>
      </c>
      <c r="E46" s="75">
        <v>21.36</v>
      </c>
      <c r="F46" s="76">
        <v>0.53</v>
      </c>
    </row>
    <row r="47" spans="1:6">
      <c r="A47" s="50" t="s">
        <v>127</v>
      </c>
      <c r="B47" s="74">
        <v>35</v>
      </c>
      <c r="C47" s="78">
        <v>291</v>
      </c>
      <c r="D47" s="78">
        <v>326</v>
      </c>
      <c r="E47" s="75">
        <v>10.74</v>
      </c>
      <c r="F47" s="76">
        <v>0.2</v>
      </c>
    </row>
    <row r="48" spans="1:6">
      <c r="A48" s="50" t="s">
        <v>128</v>
      </c>
      <c r="B48" s="74">
        <v>126</v>
      </c>
      <c r="C48" s="78">
        <v>587</v>
      </c>
      <c r="D48" s="78">
        <v>713</v>
      </c>
      <c r="E48" s="75">
        <v>17.670000000000002</v>
      </c>
      <c r="F48" s="76">
        <v>0.43</v>
      </c>
    </row>
    <row r="49" spans="1:6">
      <c r="A49" s="50" t="s">
        <v>129</v>
      </c>
      <c r="B49" s="74">
        <v>163</v>
      </c>
      <c r="C49" s="79">
        <v>2514</v>
      </c>
      <c r="D49" s="79">
        <v>2677</v>
      </c>
      <c r="E49" s="75">
        <v>6.09</v>
      </c>
      <c r="F49" s="76">
        <v>1.62</v>
      </c>
    </row>
    <row r="50" spans="1:6">
      <c r="A50" s="50" t="s">
        <v>130</v>
      </c>
      <c r="B50" s="74">
        <v>264</v>
      </c>
      <c r="C50" s="79">
        <v>2015</v>
      </c>
      <c r="D50" s="79">
        <v>2279</v>
      </c>
      <c r="E50" s="75">
        <v>11.58</v>
      </c>
      <c r="F50" s="76">
        <v>1.38</v>
      </c>
    </row>
    <row r="51" spans="1:6">
      <c r="A51" s="51" t="s">
        <v>131</v>
      </c>
      <c r="B51" s="74">
        <v>277</v>
      </c>
      <c r="C51" s="79">
        <v>1130</v>
      </c>
      <c r="D51" s="79">
        <v>1407</v>
      </c>
      <c r="E51" s="75">
        <v>19.690000000000001</v>
      </c>
      <c r="F51" s="76">
        <v>0.85</v>
      </c>
    </row>
    <row r="52" spans="1:6">
      <c r="A52" s="51" t="s">
        <v>132</v>
      </c>
      <c r="B52" s="74">
        <v>797</v>
      </c>
      <c r="C52" s="78">
        <v>173</v>
      </c>
      <c r="D52" s="78">
        <v>970</v>
      </c>
      <c r="E52" s="75">
        <v>82.16</v>
      </c>
      <c r="F52" s="76">
        <v>0.59</v>
      </c>
    </row>
    <row r="53" spans="1:6">
      <c r="A53" s="52"/>
      <c r="B53" s="101">
        <v>34794</v>
      </c>
      <c r="C53" s="101">
        <v>130823</v>
      </c>
      <c r="D53" s="101">
        <v>165617</v>
      </c>
      <c r="E53" s="102">
        <f>(B53*100)/D53</f>
        <v>21.008712873678427</v>
      </c>
      <c r="F53" s="100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D22" sqref="D22:D24"/>
    </sheetView>
  </sheetViews>
  <sheetFormatPr defaultRowHeight="12.75"/>
  <cols>
    <col min="1" max="1" width="24.28515625" style="124" bestFit="1" customWidth="1"/>
    <col min="2" max="2" width="9.140625" style="135"/>
    <col min="3" max="3" width="11.140625" style="124" customWidth="1"/>
    <col min="4" max="4" width="9.140625" style="124"/>
    <col min="5" max="5" width="12.28515625" style="124" customWidth="1"/>
    <col min="6" max="6" width="12.140625" style="124" customWidth="1"/>
    <col min="7" max="16384" width="9.140625" style="124"/>
  </cols>
  <sheetData>
    <row r="1" spans="1:6">
      <c r="A1" s="122"/>
      <c r="B1" s="122"/>
      <c r="C1" s="123"/>
      <c r="D1" s="122"/>
      <c r="E1" s="122"/>
      <c r="F1" s="122"/>
    </row>
    <row r="2" spans="1:6" ht="15">
      <c r="A2" s="155" t="s">
        <v>139</v>
      </c>
      <c r="B2" s="155"/>
      <c r="C2" s="155"/>
      <c r="D2" s="155"/>
      <c r="E2" s="155"/>
      <c r="F2" s="155"/>
    </row>
    <row r="3" spans="1:6">
      <c r="A3" s="122"/>
      <c r="B3" s="122"/>
      <c r="C3" s="123"/>
      <c r="D3" s="122"/>
      <c r="E3" s="122"/>
      <c r="F3" s="122"/>
    </row>
    <row r="4" spans="1:6" ht="18.75" customHeight="1">
      <c r="A4" s="145" t="s">
        <v>80</v>
      </c>
      <c r="B4" s="146" t="s">
        <v>72</v>
      </c>
      <c r="C4" s="147" t="s">
        <v>73</v>
      </c>
      <c r="D4" s="148" t="s">
        <v>74</v>
      </c>
      <c r="E4" s="146" t="s">
        <v>75</v>
      </c>
      <c r="F4" s="149" t="s">
        <v>85</v>
      </c>
    </row>
    <row r="5" spans="1:6">
      <c r="A5" s="143" t="s">
        <v>155</v>
      </c>
      <c r="B5" s="125"/>
      <c r="C5" s="126"/>
      <c r="D5" s="140">
        <v>1992</v>
      </c>
      <c r="E5" s="127">
        <f>(B5*100)/D5</f>
        <v>0</v>
      </c>
      <c r="F5" s="128">
        <f>(D5*100)/$D$52</f>
        <v>1.2254163155077911</v>
      </c>
    </row>
    <row r="6" spans="1:6">
      <c r="A6" s="144" t="s">
        <v>1</v>
      </c>
      <c r="B6" s="125"/>
      <c r="C6" s="126"/>
      <c r="D6" s="140">
        <v>0</v>
      </c>
      <c r="E6" s="127" t="e">
        <f t="shared" ref="E6:E51" si="0">(B6*100)/D6</f>
        <v>#DIV/0!</v>
      </c>
      <c r="F6" s="128">
        <f t="shared" ref="F6:F51" si="1">(D6*100)/$D$52</f>
        <v>0</v>
      </c>
    </row>
    <row r="7" spans="1:6">
      <c r="A7" s="144" t="s">
        <v>2</v>
      </c>
      <c r="B7" s="129"/>
      <c r="C7" s="126"/>
      <c r="D7" s="140">
        <v>2740</v>
      </c>
      <c r="E7" s="127">
        <f t="shared" si="0"/>
        <v>0</v>
      </c>
      <c r="F7" s="128">
        <f t="shared" si="1"/>
        <v>1.6855626026562991</v>
      </c>
    </row>
    <row r="8" spans="1:6">
      <c r="A8" s="144" t="s">
        <v>3</v>
      </c>
      <c r="B8" s="125"/>
      <c r="C8" s="130"/>
      <c r="D8" s="140">
        <v>809</v>
      </c>
      <c r="E8" s="127">
        <f t="shared" si="0"/>
        <v>0</v>
      </c>
      <c r="F8" s="128">
        <f t="shared" si="1"/>
        <v>0.49767158596676858</v>
      </c>
    </row>
    <row r="9" spans="1:6">
      <c r="A9" s="144" t="s">
        <v>4</v>
      </c>
      <c r="B9" s="125"/>
      <c r="C9" s="130"/>
      <c r="D9" s="140">
        <v>285</v>
      </c>
      <c r="E9" s="127">
        <f t="shared" si="0"/>
        <v>0</v>
      </c>
      <c r="F9" s="128">
        <f t="shared" si="1"/>
        <v>0.17532311742957854</v>
      </c>
    </row>
    <row r="10" spans="1:6">
      <c r="A10" s="144" t="s">
        <v>5</v>
      </c>
      <c r="B10" s="129"/>
      <c r="C10" s="126"/>
      <c r="D10" s="140">
        <v>7998</v>
      </c>
      <c r="E10" s="127">
        <f t="shared" si="0"/>
        <v>0</v>
      </c>
      <c r="F10" s="128">
        <f t="shared" si="1"/>
        <v>4.9201203270237519</v>
      </c>
    </row>
    <row r="11" spans="1:6">
      <c r="A11" s="144" t="s">
        <v>6</v>
      </c>
      <c r="B11" s="129"/>
      <c r="C11" s="126"/>
      <c r="D11" s="140">
        <v>3870</v>
      </c>
      <c r="E11" s="127">
        <f t="shared" si="0"/>
        <v>0</v>
      </c>
      <c r="F11" s="128">
        <f t="shared" si="1"/>
        <v>2.3807033840437506</v>
      </c>
    </row>
    <row r="12" spans="1:6">
      <c r="A12" s="143" t="s">
        <v>156</v>
      </c>
      <c r="B12" s="125"/>
      <c r="C12" s="130"/>
      <c r="D12" s="140">
        <v>164</v>
      </c>
      <c r="E12" s="127">
        <f t="shared" si="0"/>
        <v>0</v>
      </c>
      <c r="F12" s="128">
        <f t="shared" si="1"/>
        <v>0.10088768862614345</v>
      </c>
    </row>
    <row r="13" spans="1:6">
      <c r="A13" s="144" t="s">
        <v>8</v>
      </c>
      <c r="B13" s="125"/>
      <c r="C13" s="126"/>
      <c r="D13" s="140">
        <v>2427</v>
      </c>
      <c r="E13" s="127">
        <f t="shared" si="0"/>
        <v>0</v>
      </c>
      <c r="F13" s="128">
        <f t="shared" si="1"/>
        <v>1.4930147579003057</v>
      </c>
    </row>
    <row r="14" spans="1:6">
      <c r="A14" s="144" t="s">
        <v>9</v>
      </c>
      <c r="B14" s="125"/>
      <c r="C14" s="130"/>
      <c r="D14" s="140">
        <v>631</v>
      </c>
      <c r="E14" s="127">
        <f t="shared" si="0"/>
        <v>0</v>
      </c>
      <c r="F14" s="128">
        <f t="shared" si="1"/>
        <v>0.38817153367741775</v>
      </c>
    </row>
    <row r="15" spans="1:6">
      <c r="A15" s="144" t="s">
        <v>10</v>
      </c>
      <c r="B15" s="125"/>
      <c r="C15" s="126"/>
      <c r="D15" s="140">
        <v>17914</v>
      </c>
      <c r="E15" s="127">
        <f t="shared" si="0"/>
        <v>0</v>
      </c>
      <c r="F15" s="128">
        <f t="shared" si="1"/>
        <v>11.020134475906913</v>
      </c>
    </row>
    <row r="16" spans="1:6">
      <c r="A16" s="144" t="s">
        <v>11</v>
      </c>
      <c r="B16" s="125"/>
      <c r="C16" s="126"/>
      <c r="D16" s="140">
        <v>7883</v>
      </c>
      <c r="E16" s="127">
        <f t="shared" si="0"/>
        <v>0</v>
      </c>
      <c r="F16" s="128">
        <f t="shared" si="1"/>
        <v>4.8493759112188339</v>
      </c>
    </row>
    <row r="17" spans="1:6">
      <c r="A17" s="143" t="s">
        <v>157</v>
      </c>
      <c r="B17" s="125"/>
      <c r="C17" s="130"/>
      <c r="D17" s="140">
        <v>502</v>
      </c>
      <c r="E17" s="127">
        <f t="shared" si="0"/>
        <v>0</v>
      </c>
      <c r="F17" s="128">
        <f t="shared" si="1"/>
        <v>0.30881475420929272</v>
      </c>
    </row>
    <row r="18" spans="1:6">
      <c r="A18" s="143" t="s">
        <v>158</v>
      </c>
      <c r="B18" s="129"/>
      <c r="C18" s="126"/>
      <c r="D18" s="140">
        <v>3038</v>
      </c>
      <c r="E18" s="127">
        <f t="shared" si="0"/>
        <v>0</v>
      </c>
      <c r="F18" s="128">
        <f t="shared" si="1"/>
        <v>1.8688829149159987</v>
      </c>
    </row>
    <row r="19" spans="1:6">
      <c r="A19" s="143" t="s">
        <v>159</v>
      </c>
      <c r="B19" s="125"/>
      <c r="C19" s="130"/>
      <c r="D19" s="140">
        <v>487</v>
      </c>
      <c r="E19" s="127">
        <f t="shared" si="0"/>
        <v>0</v>
      </c>
      <c r="F19" s="128">
        <f t="shared" si="1"/>
        <v>0.29958722171299912</v>
      </c>
    </row>
    <row r="20" spans="1:6">
      <c r="A20" s="144" t="s">
        <v>15</v>
      </c>
      <c r="B20" s="125"/>
      <c r="C20" s="130"/>
      <c r="D20" s="140">
        <v>113</v>
      </c>
      <c r="E20" s="127">
        <f t="shared" si="0"/>
        <v>0</v>
      </c>
      <c r="F20" s="128">
        <f t="shared" si="1"/>
        <v>6.9514078138745175E-2</v>
      </c>
    </row>
    <row r="21" spans="1:6">
      <c r="A21" s="144" t="s">
        <v>17</v>
      </c>
      <c r="B21" s="129"/>
      <c r="C21" s="126"/>
      <c r="D21" s="140">
        <v>26936</v>
      </c>
      <c r="E21" s="127">
        <f t="shared" si="0"/>
        <v>0</v>
      </c>
      <c r="F21" s="128">
        <f t="shared" si="1"/>
        <v>16.570187688010975</v>
      </c>
    </row>
    <row r="22" spans="1:6">
      <c r="A22" s="144" t="s">
        <v>19</v>
      </c>
      <c r="B22" s="125"/>
      <c r="C22" s="130"/>
      <c r="D22" s="140">
        <v>639</v>
      </c>
      <c r="E22" s="127">
        <f t="shared" si="0"/>
        <v>0</v>
      </c>
      <c r="F22" s="128">
        <f t="shared" si="1"/>
        <v>0.39309288434210771</v>
      </c>
    </row>
    <row r="23" spans="1:6">
      <c r="A23" s="144" t="s">
        <v>20</v>
      </c>
      <c r="B23" s="129"/>
      <c r="C23" s="126"/>
      <c r="D23" s="140">
        <v>16340</v>
      </c>
      <c r="E23" s="127">
        <f t="shared" si="0"/>
        <v>0</v>
      </c>
      <c r="F23" s="128">
        <f t="shared" si="1"/>
        <v>10.051858732629171</v>
      </c>
    </row>
    <row r="24" spans="1:6">
      <c r="A24" s="144" t="s">
        <v>21</v>
      </c>
      <c r="B24" s="125"/>
      <c r="C24" s="130"/>
      <c r="D24" s="140">
        <v>186</v>
      </c>
      <c r="E24" s="127">
        <f t="shared" si="0"/>
        <v>0</v>
      </c>
      <c r="F24" s="128">
        <f t="shared" si="1"/>
        <v>0.11442140295404074</v>
      </c>
    </row>
    <row r="25" spans="1:6">
      <c r="A25" s="144" t="s">
        <v>48</v>
      </c>
      <c r="B25" s="125"/>
      <c r="C25" s="130"/>
      <c r="D25" s="140">
        <v>917</v>
      </c>
      <c r="E25" s="127">
        <f t="shared" si="0"/>
        <v>0</v>
      </c>
      <c r="F25" s="128">
        <f t="shared" si="1"/>
        <v>0.56410981994008258</v>
      </c>
    </row>
    <row r="26" spans="1:6">
      <c r="A26" s="144" t="s">
        <v>22</v>
      </c>
      <c r="B26" s="125"/>
      <c r="C26" s="130"/>
      <c r="D26" s="140">
        <v>1375</v>
      </c>
      <c r="E26" s="127">
        <f t="shared" si="0"/>
        <v>0</v>
      </c>
      <c r="F26" s="128">
        <f t="shared" si="1"/>
        <v>0.84585714549358071</v>
      </c>
    </row>
    <row r="27" spans="1:6">
      <c r="A27" s="144" t="s">
        <v>23</v>
      </c>
      <c r="B27" s="125"/>
      <c r="C27" s="130"/>
      <c r="D27" s="140">
        <v>523</v>
      </c>
      <c r="E27" s="127">
        <f t="shared" si="0"/>
        <v>0</v>
      </c>
      <c r="F27" s="128">
        <f t="shared" si="1"/>
        <v>0.3217332997041038</v>
      </c>
    </row>
    <row r="28" spans="1:6">
      <c r="A28" s="143" t="s">
        <v>160</v>
      </c>
      <c r="B28" s="125"/>
      <c r="C28" s="126"/>
      <c r="D28" s="140">
        <v>1411</v>
      </c>
      <c r="E28" s="127">
        <f t="shared" si="0"/>
        <v>0</v>
      </c>
      <c r="F28" s="128">
        <f t="shared" si="1"/>
        <v>0.86800322348468539</v>
      </c>
    </row>
    <row r="29" spans="1:6">
      <c r="A29" s="144" t="s">
        <v>25</v>
      </c>
      <c r="B29" s="125"/>
      <c r="C29" s="130"/>
      <c r="D29" s="140">
        <v>1446</v>
      </c>
      <c r="E29" s="127">
        <f t="shared" si="0"/>
        <v>0</v>
      </c>
      <c r="F29" s="128">
        <f t="shared" si="1"/>
        <v>0.88953413264270376</v>
      </c>
    </row>
    <row r="30" spans="1:6">
      <c r="A30" s="143" t="s">
        <v>161</v>
      </c>
      <c r="B30" s="125"/>
      <c r="C30" s="130"/>
      <c r="D30" s="140">
        <v>158</v>
      </c>
      <c r="E30" s="127">
        <f t="shared" si="0"/>
        <v>0</v>
      </c>
      <c r="F30" s="128">
        <f t="shared" si="1"/>
        <v>9.7196675627626003E-2</v>
      </c>
    </row>
    <row r="31" spans="1:6">
      <c r="A31" s="144" t="s">
        <v>27</v>
      </c>
      <c r="B31" s="129"/>
      <c r="C31" s="126"/>
      <c r="D31" s="140">
        <v>32544</v>
      </c>
      <c r="E31" s="127">
        <f t="shared" si="0"/>
        <v>0</v>
      </c>
      <c r="F31" s="128">
        <f t="shared" si="1"/>
        <v>20.020054503958612</v>
      </c>
    </row>
    <row r="32" spans="1:6">
      <c r="A32" s="144" t="s">
        <v>28</v>
      </c>
      <c r="B32" s="125"/>
      <c r="C32" s="130"/>
      <c r="D32" s="140">
        <v>474</v>
      </c>
      <c r="E32" s="127">
        <f t="shared" si="0"/>
        <v>0</v>
      </c>
      <c r="F32" s="128">
        <f t="shared" si="1"/>
        <v>0.291590026882878</v>
      </c>
    </row>
    <row r="33" spans="1:6">
      <c r="A33" s="144" t="s">
        <v>29</v>
      </c>
      <c r="B33" s="125"/>
      <c r="C33" s="126"/>
      <c r="D33" s="140">
        <v>2455</v>
      </c>
      <c r="E33" s="127">
        <f t="shared" si="0"/>
        <v>0</v>
      </c>
      <c r="F33" s="128">
        <f t="shared" si="1"/>
        <v>1.5102394852267205</v>
      </c>
    </row>
    <row r="34" spans="1:6">
      <c r="A34" s="144" t="s">
        <v>53</v>
      </c>
      <c r="B34" s="129"/>
      <c r="C34" s="126"/>
      <c r="D34" s="140">
        <v>3184</v>
      </c>
      <c r="E34" s="127">
        <f t="shared" si="0"/>
        <v>0</v>
      </c>
      <c r="F34" s="128">
        <f t="shared" si="1"/>
        <v>1.9586975645465898</v>
      </c>
    </row>
    <row r="35" spans="1:6">
      <c r="A35" s="144" t="s">
        <v>30</v>
      </c>
      <c r="B35" s="125"/>
      <c r="C35" s="130"/>
      <c r="D35" s="140">
        <v>527</v>
      </c>
      <c r="E35" s="127">
        <f t="shared" si="0"/>
        <v>0</v>
      </c>
      <c r="F35" s="128">
        <f t="shared" si="1"/>
        <v>0.32419397503644876</v>
      </c>
    </row>
    <row r="36" spans="1:6">
      <c r="A36" s="143" t="s">
        <v>162</v>
      </c>
      <c r="B36" s="125"/>
      <c r="C36" s="126"/>
      <c r="D36" s="140">
        <v>2428</v>
      </c>
      <c r="E36" s="127">
        <f t="shared" si="0"/>
        <v>0</v>
      </c>
      <c r="F36" s="128">
        <f t="shared" si="1"/>
        <v>1.4936299267333919</v>
      </c>
    </row>
    <row r="37" spans="1:6">
      <c r="A37" s="143" t="s">
        <v>163</v>
      </c>
      <c r="B37" s="125"/>
      <c r="C37" s="126"/>
      <c r="D37" s="140">
        <v>1375</v>
      </c>
      <c r="E37" s="127">
        <f t="shared" si="0"/>
        <v>0</v>
      </c>
      <c r="F37" s="128">
        <f t="shared" si="1"/>
        <v>0.84585714549358071</v>
      </c>
    </row>
    <row r="38" spans="1:6">
      <c r="A38" s="144" t="s">
        <v>33</v>
      </c>
      <c r="B38" s="125"/>
      <c r="C38" s="130"/>
      <c r="D38" s="140">
        <v>196</v>
      </c>
      <c r="E38" s="127">
        <f t="shared" si="0"/>
        <v>0</v>
      </c>
      <c r="F38" s="128">
        <f t="shared" si="1"/>
        <v>0.12057309128490314</v>
      </c>
    </row>
    <row r="39" spans="1:6">
      <c r="A39" s="144" t="s">
        <v>34</v>
      </c>
      <c r="B39" s="125"/>
      <c r="C39" s="130"/>
      <c r="D39" s="140">
        <v>1083</v>
      </c>
      <c r="E39" s="127">
        <f t="shared" si="0"/>
        <v>0</v>
      </c>
      <c r="F39" s="128">
        <f t="shared" si="1"/>
        <v>0.6662278462323985</v>
      </c>
    </row>
    <row r="40" spans="1:6">
      <c r="A40" s="144" t="s">
        <v>35</v>
      </c>
      <c r="B40" s="125"/>
      <c r="C40" s="126"/>
      <c r="D40" s="140">
        <v>2478</v>
      </c>
      <c r="E40" s="127">
        <f t="shared" si="0"/>
        <v>0</v>
      </c>
      <c r="F40" s="128">
        <f t="shared" si="1"/>
        <v>1.524388368387704</v>
      </c>
    </row>
    <row r="41" spans="1:6">
      <c r="A41" s="144" t="s">
        <v>36</v>
      </c>
      <c r="B41" s="125"/>
      <c r="C41" s="126"/>
      <c r="D41" s="140">
        <v>1597</v>
      </c>
      <c r="E41" s="127">
        <f t="shared" si="0"/>
        <v>0</v>
      </c>
      <c r="F41" s="128">
        <f t="shared" si="1"/>
        <v>0.98242462643872608</v>
      </c>
    </row>
    <row r="42" spans="1:6">
      <c r="A42" s="144" t="s">
        <v>37</v>
      </c>
      <c r="B42" s="125"/>
      <c r="C42" s="130"/>
      <c r="D42" s="140">
        <v>227</v>
      </c>
      <c r="E42" s="127">
        <f t="shared" si="0"/>
        <v>0</v>
      </c>
      <c r="F42" s="128">
        <f t="shared" si="1"/>
        <v>0.13964332511057659</v>
      </c>
    </row>
    <row r="43" spans="1:6">
      <c r="A43" s="144" t="s">
        <v>38</v>
      </c>
      <c r="B43" s="125"/>
      <c r="C43" s="126"/>
      <c r="D43" s="140">
        <v>3561</v>
      </c>
      <c r="E43" s="127">
        <f t="shared" si="0"/>
        <v>0</v>
      </c>
      <c r="F43" s="128">
        <f t="shared" si="1"/>
        <v>2.1906162146201025</v>
      </c>
    </row>
    <row r="44" spans="1:6">
      <c r="A44" s="144" t="s">
        <v>39</v>
      </c>
      <c r="B44" s="125"/>
      <c r="C44" s="130"/>
      <c r="D44" s="140">
        <v>588</v>
      </c>
      <c r="E44" s="127">
        <f t="shared" si="0"/>
        <v>0</v>
      </c>
      <c r="F44" s="128">
        <f t="shared" si="1"/>
        <v>0.36171927385470942</v>
      </c>
    </row>
    <row r="45" spans="1:6">
      <c r="A45" s="144" t="s">
        <v>40</v>
      </c>
      <c r="B45" s="125"/>
      <c r="C45" s="130"/>
      <c r="D45" s="140">
        <v>885</v>
      </c>
      <c r="E45" s="127">
        <f t="shared" si="0"/>
        <v>0</v>
      </c>
      <c r="F45" s="128">
        <f t="shared" si="1"/>
        <v>0.54442441728132285</v>
      </c>
    </row>
    <row r="46" spans="1:6">
      <c r="A46" s="143" t="s">
        <v>164</v>
      </c>
      <c r="B46" s="125"/>
      <c r="C46" s="130"/>
      <c r="D46" s="140">
        <v>326</v>
      </c>
      <c r="E46" s="127">
        <f t="shared" si="0"/>
        <v>0</v>
      </c>
      <c r="F46" s="128">
        <f t="shared" si="1"/>
        <v>0.20054503958611442</v>
      </c>
    </row>
    <row r="47" spans="1:6">
      <c r="A47" s="143" t="s">
        <v>165</v>
      </c>
      <c r="B47" s="125"/>
      <c r="C47" s="130"/>
      <c r="D47" s="140">
        <v>713</v>
      </c>
      <c r="E47" s="127">
        <f t="shared" si="0"/>
        <v>0</v>
      </c>
      <c r="F47" s="128">
        <f t="shared" si="1"/>
        <v>0.4386153779904895</v>
      </c>
    </row>
    <row r="48" spans="1:6">
      <c r="A48" s="143" t="s">
        <v>166</v>
      </c>
      <c r="B48" s="125"/>
      <c r="C48" s="126"/>
      <c r="D48" s="140">
        <v>2677</v>
      </c>
      <c r="E48" s="127">
        <f t="shared" si="0"/>
        <v>0</v>
      </c>
      <c r="F48" s="128">
        <f t="shared" si="1"/>
        <v>1.6468069661718658</v>
      </c>
    </row>
    <row r="49" spans="1:6">
      <c r="A49" s="143" t="s">
        <v>167</v>
      </c>
      <c r="B49" s="125"/>
      <c r="C49" s="126"/>
      <c r="D49" s="140">
        <v>2279</v>
      </c>
      <c r="E49" s="127">
        <f t="shared" si="0"/>
        <v>0</v>
      </c>
      <c r="F49" s="128">
        <f t="shared" si="1"/>
        <v>1.4019697706035421</v>
      </c>
    </row>
    <row r="50" spans="1:6">
      <c r="A50" s="144" t="s">
        <v>45</v>
      </c>
      <c r="B50" s="125"/>
      <c r="C50" s="126"/>
      <c r="D50" s="140">
        <v>1407</v>
      </c>
      <c r="E50" s="127">
        <f t="shared" si="0"/>
        <v>0</v>
      </c>
      <c r="F50" s="128">
        <f t="shared" si="1"/>
        <v>0.86554254815234044</v>
      </c>
    </row>
    <row r="51" spans="1:6">
      <c r="A51" s="144" t="s">
        <v>46</v>
      </c>
      <c r="B51" s="125"/>
      <c r="C51" s="130"/>
      <c r="D51" s="140">
        <v>769</v>
      </c>
      <c r="E51" s="127">
        <f t="shared" si="0"/>
        <v>0</v>
      </c>
      <c r="F51" s="128">
        <f t="shared" si="1"/>
        <v>0.47306483264331894</v>
      </c>
    </row>
    <row r="52" spans="1:6">
      <c r="A52" s="131"/>
      <c r="B52" s="132">
        <f>SUM(B5:B51)</f>
        <v>0</v>
      </c>
      <c r="C52" s="132">
        <f t="shared" ref="C52:D52" si="2">SUM(C5:C51)</f>
        <v>0</v>
      </c>
      <c r="D52" s="101">
        <f t="shared" si="2"/>
        <v>162557</v>
      </c>
      <c r="E52" s="133">
        <f>(B52*100)/D52</f>
        <v>0</v>
      </c>
      <c r="F52" s="134"/>
    </row>
  </sheetData>
  <mergeCells count="1">
    <mergeCell ref="A2:F2"/>
  </mergeCells>
  <pageMargins left="0.7" right="0.7" top="0.75" bottom="0.75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workbookViewId="0">
      <selection activeCell="J23" sqref="J23"/>
    </sheetView>
  </sheetViews>
  <sheetFormatPr defaultRowHeight="12.75"/>
  <cols>
    <col min="1" max="1" width="24.28515625" bestFit="1" customWidth="1"/>
    <col min="2" max="2" width="9.140625" style="92"/>
    <col min="3" max="3" width="11.140625" customWidth="1"/>
    <col min="5" max="5" width="12.28515625" customWidth="1"/>
    <col min="6" max="6" width="12.140625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143</v>
      </c>
      <c r="B2" s="155"/>
      <c r="C2" s="155"/>
      <c r="D2" s="155"/>
      <c r="E2" s="155"/>
      <c r="F2" s="155"/>
    </row>
    <row r="3" spans="1:6">
      <c r="A3" s="1"/>
      <c r="B3" s="1"/>
      <c r="C3" s="2"/>
      <c r="D3" s="1"/>
      <c r="E3" s="1"/>
      <c r="F3" s="1"/>
    </row>
    <row r="4" spans="1:6" ht="18.75" customHeight="1">
      <c r="A4" s="88" t="s">
        <v>80</v>
      </c>
      <c r="B4" s="46" t="s">
        <v>81</v>
      </c>
      <c r="C4" s="53" t="s">
        <v>82</v>
      </c>
      <c r="D4" s="48" t="s">
        <v>83</v>
      </c>
      <c r="E4" s="46" t="s">
        <v>84</v>
      </c>
      <c r="F4" s="49" t="s">
        <v>85</v>
      </c>
    </row>
    <row r="5" spans="1:6">
      <c r="A5" s="89" t="s">
        <v>86</v>
      </c>
      <c r="B5" s="139">
        <v>294</v>
      </c>
      <c r="C5" s="140">
        <v>1842</v>
      </c>
      <c r="D5" s="79">
        <f>SUM(B5:C5)</f>
        <v>2136</v>
      </c>
      <c r="E5" s="75">
        <f>(B5*100)/D5</f>
        <v>13.764044943820224</v>
      </c>
      <c r="F5" s="76">
        <f>(D5*100)/$D$52</f>
        <v>1.2537860111291117</v>
      </c>
    </row>
    <row r="6" spans="1:6">
      <c r="A6" s="90" t="s">
        <v>87</v>
      </c>
      <c r="B6" s="139">
        <v>178</v>
      </c>
      <c r="C6" s="140">
        <v>1564</v>
      </c>
      <c r="D6" s="79">
        <f t="shared" ref="D6:D51" si="0">SUM(B6:C6)</f>
        <v>1742</v>
      </c>
      <c r="E6" s="75">
        <f t="shared" ref="E6:E51" si="1">(B6*100)/D6</f>
        <v>10.218140068886338</v>
      </c>
      <c r="F6" s="76">
        <f t="shared" ref="F6:F51" si="2">(D6*100)/$D$52</f>
        <v>1.0225164940949967</v>
      </c>
    </row>
    <row r="7" spans="1:6">
      <c r="A7" s="90" t="s">
        <v>88</v>
      </c>
      <c r="B7" s="141">
        <v>1167</v>
      </c>
      <c r="C7" s="140">
        <v>1733</v>
      </c>
      <c r="D7" s="79">
        <f t="shared" si="0"/>
        <v>2900</v>
      </c>
      <c r="E7" s="75">
        <f t="shared" si="1"/>
        <v>40.241379310344826</v>
      </c>
      <c r="F7" s="76">
        <f t="shared" si="2"/>
        <v>1.7022375619262284</v>
      </c>
    </row>
    <row r="8" spans="1:6">
      <c r="A8" s="90" t="s">
        <v>89</v>
      </c>
      <c r="B8" s="139">
        <v>93</v>
      </c>
      <c r="C8" s="142">
        <v>1425</v>
      </c>
      <c r="D8" s="79">
        <f t="shared" si="0"/>
        <v>1518</v>
      </c>
      <c r="E8" s="75">
        <f t="shared" si="1"/>
        <v>6.1264822134387353</v>
      </c>
      <c r="F8" s="76">
        <f t="shared" si="2"/>
        <v>0.89103331689793619</v>
      </c>
    </row>
    <row r="9" spans="1:6">
      <c r="A9" s="90" t="s">
        <v>90</v>
      </c>
      <c r="B9" s="139">
        <v>123</v>
      </c>
      <c r="C9" s="142">
        <v>172</v>
      </c>
      <c r="D9" s="79">
        <f t="shared" si="0"/>
        <v>295</v>
      </c>
      <c r="E9" s="75">
        <f t="shared" si="1"/>
        <v>41.694915254237287</v>
      </c>
      <c r="F9" s="76">
        <f t="shared" si="2"/>
        <v>0.17315864854077154</v>
      </c>
    </row>
    <row r="10" spans="1:6">
      <c r="A10" s="90" t="s">
        <v>91</v>
      </c>
      <c r="B10" s="141">
        <v>3423</v>
      </c>
      <c r="C10" s="140">
        <v>4610</v>
      </c>
      <c r="D10" s="79">
        <f t="shared" si="0"/>
        <v>8033</v>
      </c>
      <c r="E10" s="75">
        <f t="shared" si="1"/>
        <v>42.6117266276609</v>
      </c>
      <c r="F10" s="76">
        <f t="shared" si="2"/>
        <v>4.7151980465356527</v>
      </c>
    </row>
    <row r="11" spans="1:6">
      <c r="A11" s="90" t="s">
        <v>92</v>
      </c>
      <c r="B11" s="141">
        <v>1327</v>
      </c>
      <c r="C11" s="140">
        <v>2490</v>
      </c>
      <c r="D11" s="79">
        <f t="shared" si="0"/>
        <v>3817</v>
      </c>
      <c r="E11" s="75">
        <f t="shared" si="1"/>
        <v>34.765522661776266</v>
      </c>
      <c r="F11" s="76">
        <f t="shared" si="2"/>
        <v>2.2404968185766947</v>
      </c>
    </row>
    <row r="12" spans="1:6">
      <c r="A12" s="89" t="s">
        <v>93</v>
      </c>
      <c r="B12" s="139">
        <v>95</v>
      </c>
      <c r="C12" s="142">
        <v>80</v>
      </c>
      <c r="D12" s="79">
        <f t="shared" si="0"/>
        <v>175</v>
      </c>
      <c r="E12" s="75">
        <f t="shared" si="1"/>
        <v>54.285714285714285</v>
      </c>
      <c r="F12" s="76">
        <f t="shared" si="2"/>
        <v>0.10272123218520345</v>
      </c>
    </row>
    <row r="13" spans="1:6">
      <c r="A13" s="90" t="s">
        <v>94</v>
      </c>
      <c r="B13" s="139">
        <v>341</v>
      </c>
      <c r="C13" s="140">
        <v>1897</v>
      </c>
      <c r="D13" s="79">
        <f t="shared" si="0"/>
        <v>2238</v>
      </c>
      <c r="E13" s="75">
        <f t="shared" si="1"/>
        <v>15.236818588025022</v>
      </c>
      <c r="F13" s="76">
        <f t="shared" si="2"/>
        <v>1.3136578150313447</v>
      </c>
    </row>
    <row r="14" spans="1:6">
      <c r="A14" s="90" t="s">
        <v>95</v>
      </c>
      <c r="B14" s="139">
        <v>348</v>
      </c>
      <c r="C14" s="142">
        <v>932</v>
      </c>
      <c r="D14" s="79">
        <f t="shared" si="0"/>
        <v>1280</v>
      </c>
      <c r="E14" s="75">
        <f t="shared" si="1"/>
        <v>27.1875</v>
      </c>
      <c r="F14" s="76">
        <f t="shared" si="2"/>
        <v>0.75133244112605946</v>
      </c>
    </row>
    <row r="15" spans="1:6">
      <c r="A15" s="90" t="s">
        <v>96</v>
      </c>
      <c r="B15" s="139">
        <v>112</v>
      </c>
      <c r="C15" s="140">
        <v>17581</v>
      </c>
      <c r="D15" s="79">
        <f t="shared" si="0"/>
        <v>17693</v>
      </c>
      <c r="E15" s="75">
        <f t="shared" si="1"/>
        <v>0.63301870796360138</v>
      </c>
      <c r="F15" s="76">
        <f t="shared" si="2"/>
        <v>10.385410063158883</v>
      </c>
    </row>
    <row r="16" spans="1:6">
      <c r="A16" s="90" t="s">
        <v>97</v>
      </c>
      <c r="B16" s="139">
        <v>304</v>
      </c>
      <c r="C16" s="140">
        <v>8164</v>
      </c>
      <c r="D16" s="79">
        <f t="shared" si="0"/>
        <v>8468</v>
      </c>
      <c r="E16" s="75">
        <f t="shared" si="1"/>
        <v>3.5899858290033064</v>
      </c>
      <c r="F16" s="76">
        <f t="shared" si="2"/>
        <v>4.9705336808245875</v>
      </c>
    </row>
    <row r="17" spans="1:6">
      <c r="A17" s="89" t="s">
        <v>98</v>
      </c>
      <c r="B17" s="139">
        <v>100</v>
      </c>
      <c r="C17" s="142">
        <v>460</v>
      </c>
      <c r="D17" s="79">
        <f t="shared" si="0"/>
        <v>560</v>
      </c>
      <c r="E17" s="75">
        <f t="shared" si="1"/>
        <v>17.857142857142858</v>
      </c>
      <c r="F17" s="76">
        <f t="shared" si="2"/>
        <v>0.32870794299265105</v>
      </c>
    </row>
    <row r="18" spans="1:6">
      <c r="A18" s="89" t="s">
        <v>99</v>
      </c>
      <c r="B18" s="141">
        <v>10</v>
      </c>
      <c r="C18" s="140">
        <v>445</v>
      </c>
      <c r="D18" s="79">
        <f t="shared" si="0"/>
        <v>455</v>
      </c>
      <c r="E18" s="75">
        <f t="shared" si="1"/>
        <v>2.197802197802198</v>
      </c>
      <c r="F18" s="76">
        <f t="shared" si="2"/>
        <v>0.26707520368152898</v>
      </c>
    </row>
    <row r="19" spans="1:6">
      <c r="A19" s="89" t="s">
        <v>100</v>
      </c>
      <c r="B19" s="139">
        <v>1062</v>
      </c>
      <c r="C19" s="142">
        <v>1798</v>
      </c>
      <c r="D19" s="79">
        <f t="shared" si="0"/>
        <v>2860</v>
      </c>
      <c r="E19" s="75">
        <f t="shared" si="1"/>
        <v>37.132867132867133</v>
      </c>
      <c r="F19" s="76">
        <f t="shared" si="2"/>
        <v>1.6787584231410393</v>
      </c>
    </row>
    <row r="20" spans="1:6">
      <c r="A20" s="90" t="s">
        <v>101</v>
      </c>
      <c r="B20" s="139"/>
      <c r="C20" s="142"/>
      <c r="D20" s="79">
        <f t="shared" si="0"/>
        <v>0</v>
      </c>
      <c r="E20" s="75" t="e">
        <f t="shared" si="1"/>
        <v>#DIV/0!</v>
      </c>
      <c r="F20" s="76">
        <f t="shared" si="2"/>
        <v>0</v>
      </c>
    </row>
    <row r="21" spans="1:6">
      <c r="A21" s="90" t="s">
        <v>102</v>
      </c>
      <c r="B21" s="141">
        <v>2983</v>
      </c>
      <c r="C21" s="140">
        <v>24197</v>
      </c>
      <c r="D21" s="79">
        <f t="shared" si="0"/>
        <v>27180</v>
      </c>
      <c r="E21" s="75">
        <f t="shared" si="1"/>
        <v>10.974981604120677</v>
      </c>
      <c r="F21" s="76">
        <f t="shared" si="2"/>
        <v>15.95407480453617</v>
      </c>
    </row>
    <row r="22" spans="1:6">
      <c r="A22" s="90" t="s">
        <v>103</v>
      </c>
      <c r="B22" s="139">
        <v>1033</v>
      </c>
      <c r="C22" s="142">
        <v>71</v>
      </c>
      <c r="D22" s="79">
        <f t="shared" si="0"/>
        <v>1104</v>
      </c>
      <c r="E22" s="75">
        <f t="shared" si="1"/>
        <v>93.568840579710141</v>
      </c>
      <c r="F22" s="76">
        <f t="shared" si="2"/>
        <v>0.64802423047122637</v>
      </c>
    </row>
    <row r="23" spans="1:6">
      <c r="A23" s="90" t="s">
        <v>104</v>
      </c>
      <c r="B23" s="141">
        <v>6122</v>
      </c>
      <c r="C23" s="140">
        <v>11882</v>
      </c>
      <c r="D23" s="79">
        <f t="shared" si="0"/>
        <v>18004</v>
      </c>
      <c r="E23" s="75">
        <f t="shared" si="1"/>
        <v>34.003554765607646</v>
      </c>
      <c r="F23" s="76">
        <f t="shared" si="2"/>
        <v>10.567960367213731</v>
      </c>
    </row>
    <row r="24" spans="1:6">
      <c r="A24" s="90" t="s">
        <v>105</v>
      </c>
      <c r="B24" s="139">
        <v>33</v>
      </c>
      <c r="C24" s="142">
        <v>169</v>
      </c>
      <c r="D24" s="79">
        <f t="shared" si="0"/>
        <v>202</v>
      </c>
      <c r="E24" s="75">
        <f t="shared" si="1"/>
        <v>16.336633663366335</v>
      </c>
      <c r="F24" s="76">
        <f t="shared" si="2"/>
        <v>0.11856965086520627</v>
      </c>
    </row>
    <row r="25" spans="1:6">
      <c r="A25" s="90" t="s">
        <v>106</v>
      </c>
      <c r="B25" s="139">
        <v>115</v>
      </c>
      <c r="C25" s="142">
        <v>789</v>
      </c>
      <c r="D25" s="79">
        <f t="shared" si="0"/>
        <v>904</v>
      </c>
      <c r="E25" s="75">
        <f t="shared" si="1"/>
        <v>12.721238938053098</v>
      </c>
      <c r="F25" s="76">
        <f t="shared" si="2"/>
        <v>0.53062853654527953</v>
      </c>
    </row>
    <row r="26" spans="1:6">
      <c r="A26" s="90" t="s">
        <v>107</v>
      </c>
      <c r="B26" s="139">
        <v>986</v>
      </c>
      <c r="C26" s="142">
        <v>452</v>
      </c>
      <c r="D26" s="79">
        <f t="shared" si="0"/>
        <v>1438</v>
      </c>
      <c r="E26" s="75">
        <f t="shared" si="1"/>
        <v>68.567454798331013</v>
      </c>
      <c r="F26" s="76">
        <f t="shared" si="2"/>
        <v>0.84407503932755745</v>
      </c>
    </row>
    <row r="27" spans="1:6">
      <c r="A27" s="90" t="s">
        <v>108</v>
      </c>
      <c r="B27" s="139">
        <v>270</v>
      </c>
      <c r="C27" s="142">
        <v>345</v>
      </c>
      <c r="D27" s="79">
        <f t="shared" si="0"/>
        <v>615</v>
      </c>
      <c r="E27" s="75">
        <f t="shared" si="1"/>
        <v>43.902439024390247</v>
      </c>
      <c r="F27" s="76">
        <f t="shared" si="2"/>
        <v>0.3609917588222864</v>
      </c>
    </row>
    <row r="28" spans="1:6">
      <c r="A28" s="89" t="s">
        <v>109</v>
      </c>
      <c r="B28" s="139">
        <v>239</v>
      </c>
      <c r="C28" s="140">
        <v>1159</v>
      </c>
      <c r="D28" s="79">
        <f t="shared" si="0"/>
        <v>1398</v>
      </c>
      <c r="E28" s="75">
        <f t="shared" si="1"/>
        <v>17.09585121602289</v>
      </c>
      <c r="F28" s="76">
        <f t="shared" si="2"/>
        <v>0.82059590054236808</v>
      </c>
    </row>
    <row r="29" spans="1:6">
      <c r="A29" s="90" t="s">
        <v>110</v>
      </c>
      <c r="B29" s="139">
        <v>386</v>
      </c>
      <c r="C29" s="142">
        <v>906</v>
      </c>
      <c r="D29" s="79">
        <f t="shared" si="0"/>
        <v>1292</v>
      </c>
      <c r="E29" s="75">
        <f t="shared" si="1"/>
        <v>29.876160990712073</v>
      </c>
      <c r="F29" s="76">
        <f t="shared" si="2"/>
        <v>0.75837618276161634</v>
      </c>
    </row>
    <row r="30" spans="1:6">
      <c r="A30" s="89" t="s">
        <v>111</v>
      </c>
      <c r="B30" s="139">
        <v>60</v>
      </c>
      <c r="C30" s="142">
        <v>272</v>
      </c>
      <c r="D30" s="79">
        <f t="shared" si="0"/>
        <v>332</v>
      </c>
      <c r="E30" s="75">
        <f t="shared" si="1"/>
        <v>18.072289156626507</v>
      </c>
      <c r="F30" s="76">
        <f t="shared" si="2"/>
        <v>0.19487685191707169</v>
      </c>
    </row>
    <row r="31" spans="1:6">
      <c r="A31" s="90" t="s">
        <v>112</v>
      </c>
      <c r="B31" s="141">
        <v>9670</v>
      </c>
      <c r="C31" s="140">
        <v>23836</v>
      </c>
      <c r="D31" s="79">
        <f t="shared" si="0"/>
        <v>33506</v>
      </c>
      <c r="E31" s="75">
        <f t="shared" si="1"/>
        <v>28.860502596549871</v>
      </c>
      <c r="F31" s="76">
        <f t="shared" si="2"/>
        <v>19.667300603413867</v>
      </c>
    </row>
    <row r="32" spans="1:6">
      <c r="A32" s="90" t="s">
        <v>113</v>
      </c>
      <c r="B32" s="139">
        <v>10</v>
      </c>
      <c r="C32" s="142">
        <v>522</v>
      </c>
      <c r="D32" s="79">
        <f t="shared" si="0"/>
        <v>532</v>
      </c>
      <c r="E32" s="75">
        <f t="shared" si="1"/>
        <v>1.8796992481203008</v>
      </c>
      <c r="F32" s="76">
        <f t="shared" si="2"/>
        <v>0.3122725458430185</v>
      </c>
    </row>
    <row r="33" spans="1:6">
      <c r="A33" s="90" t="s">
        <v>114</v>
      </c>
      <c r="B33" s="139">
        <v>1545</v>
      </c>
      <c r="C33" s="140">
        <v>1217</v>
      </c>
      <c r="D33" s="79">
        <f t="shared" si="0"/>
        <v>2762</v>
      </c>
      <c r="E33" s="75">
        <f t="shared" si="1"/>
        <v>55.937726285300506</v>
      </c>
      <c r="F33" s="76">
        <f t="shared" si="2"/>
        <v>1.6212345331173252</v>
      </c>
    </row>
    <row r="34" spans="1:6">
      <c r="A34" s="90" t="s">
        <v>115</v>
      </c>
      <c r="B34" s="141">
        <v>1074</v>
      </c>
      <c r="C34" s="140">
        <v>2139</v>
      </c>
      <c r="D34" s="79">
        <f t="shared" si="0"/>
        <v>3213</v>
      </c>
      <c r="E34" s="75">
        <f t="shared" si="1"/>
        <v>33.426704014939311</v>
      </c>
      <c r="F34" s="76">
        <f t="shared" si="2"/>
        <v>1.8859618229203352</v>
      </c>
    </row>
    <row r="35" spans="1:6">
      <c r="A35" s="90" t="s">
        <v>116</v>
      </c>
      <c r="B35" s="139">
        <v>120</v>
      </c>
      <c r="C35" s="142">
        <v>386</v>
      </c>
      <c r="D35" s="79">
        <f t="shared" si="0"/>
        <v>506</v>
      </c>
      <c r="E35" s="75">
        <f t="shared" si="1"/>
        <v>23.715415019762847</v>
      </c>
      <c r="F35" s="76">
        <f t="shared" si="2"/>
        <v>0.29701110563264538</v>
      </c>
    </row>
    <row r="36" spans="1:6">
      <c r="A36" s="89" t="s">
        <v>117</v>
      </c>
      <c r="B36" s="139">
        <v>170</v>
      </c>
      <c r="C36" s="140">
        <v>2157</v>
      </c>
      <c r="D36" s="79">
        <f t="shared" si="0"/>
        <v>2327</v>
      </c>
      <c r="E36" s="75">
        <f t="shared" si="1"/>
        <v>7.3055436183927807</v>
      </c>
      <c r="F36" s="76">
        <f t="shared" si="2"/>
        <v>1.3658988988283909</v>
      </c>
    </row>
    <row r="37" spans="1:6">
      <c r="A37" s="89" t="s">
        <v>118</v>
      </c>
      <c r="B37" s="139">
        <v>39</v>
      </c>
      <c r="C37" s="140">
        <v>1253</v>
      </c>
      <c r="D37" s="79">
        <f t="shared" si="0"/>
        <v>1292</v>
      </c>
      <c r="E37" s="75">
        <f t="shared" si="1"/>
        <v>3.0185758513931891</v>
      </c>
      <c r="F37" s="76">
        <f t="shared" si="2"/>
        <v>0.75837618276161634</v>
      </c>
    </row>
    <row r="38" spans="1:6">
      <c r="A38" s="90" t="s">
        <v>119</v>
      </c>
      <c r="B38" s="139">
        <v>24</v>
      </c>
      <c r="C38" s="142">
        <v>133</v>
      </c>
      <c r="D38" s="79">
        <f t="shared" si="0"/>
        <v>157</v>
      </c>
      <c r="E38" s="75">
        <f t="shared" si="1"/>
        <v>15.286624203821656</v>
      </c>
      <c r="F38" s="76">
        <f t="shared" si="2"/>
        <v>9.2155619731868241E-2</v>
      </c>
    </row>
    <row r="39" spans="1:6">
      <c r="A39" s="90" t="s">
        <v>120</v>
      </c>
      <c r="B39" s="139">
        <v>277</v>
      </c>
      <c r="C39" s="142">
        <v>882</v>
      </c>
      <c r="D39" s="79">
        <f t="shared" si="0"/>
        <v>1159</v>
      </c>
      <c r="E39" s="75">
        <f t="shared" si="1"/>
        <v>23.899913718723038</v>
      </c>
      <c r="F39" s="76">
        <f t="shared" si="2"/>
        <v>0.68030804630086172</v>
      </c>
    </row>
    <row r="40" spans="1:6">
      <c r="A40" s="90" t="s">
        <v>121</v>
      </c>
      <c r="B40" s="139">
        <v>576</v>
      </c>
      <c r="C40" s="140">
        <v>1923</v>
      </c>
      <c r="D40" s="79">
        <f t="shared" si="0"/>
        <v>2499</v>
      </c>
      <c r="E40" s="75">
        <f t="shared" si="1"/>
        <v>23.049219687875151</v>
      </c>
      <c r="F40" s="76">
        <f t="shared" si="2"/>
        <v>1.4668591956047052</v>
      </c>
    </row>
    <row r="41" spans="1:6">
      <c r="A41" s="90" t="s">
        <v>122</v>
      </c>
      <c r="B41" s="139">
        <v>230</v>
      </c>
      <c r="C41" s="140">
        <v>1462</v>
      </c>
      <c r="D41" s="79">
        <f t="shared" si="0"/>
        <v>1692</v>
      </c>
      <c r="E41" s="75">
        <f t="shared" si="1"/>
        <v>13.59338061465721</v>
      </c>
      <c r="F41" s="76">
        <f t="shared" si="2"/>
        <v>0.99316757061350991</v>
      </c>
    </row>
    <row r="42" spans="1:6">
      <c r="A42" s="90" t="s">
        <v>123</v>
      </c>
      <c r="B42" s="139">
        <v>33</v>
      </c>
      <c r="C42" s="142">
        <v>303</v>
      </c>
      <c r="D42" s="79">
        <f t="shared" si="0"/>
        <v>336</v>
      </c>
      <c r="E42" s="75">
        <f t="shared" si="1"/>
        <v>9.8214285714285712</v>
      </c>
      <c r="F42" s="76">
        <f t="shared" si="2"/>
        <v>0.19722476579559062</v>
      </c>
    </row>
    <row r="43" spans="1:6">
      <c r="A43" s="90" t="s">
        <v>124</v>
      </c>
      <c r="B43" s="139">
        <v>687</v>
      </c>
      <c r="C43" s="140">
        <v>2829</v>
      </c>
      <c r="D43" s="79">
        <f t="shared" si="0"/>
        <v>3516</v>
      </c>
      <c r="E43" s="75">
        <f t="shared" si="1"/>
        <v>19.53924914675768</v>
      </c>
      <c r="F43" s="76">
        <f t="shared" si="2"/>
        <v>2.0638162992181446</v>
      </c>
    </row>
    <row r="44" spans="1:6">
      <c r="A44" s="90" t="s">
        <v>125</v>
      </c>
      <c r="B44" s="139">
        <v>148</v>
      </c>
      <c r="C44" s="142">
        <v>387</v>
      </c>
      <c r="D44" s="79">
        <f t="shared" si="0"/>
        <v>535</v>
      </c>
      <c r="E44" s="75">
        <f t="shared" si="1"/>
        <v>27.66355140186916</v>
      </c>
      <c r="F44" s="76">
        <f t="shared" si="2"/>
        <v>0.31403348125190766</v>
      </c>
    </row>
    <row r="45" spans="1:6">
      <c r="A45" s="90" t="s">
        <v>126</v>
      </c>
      <c r="B45" s="139">
        <v>230</v>
      </c>
      <c r="C45" s="142">
        <v>734</v>
      </c>
      <c r="D45" s="79">
        <f t="shared" si="0"/>
        <v>964</v>
      </c>
      <c r="E45" s="75">
        <f t="shared" si="1"/>
        <v>23.858921161825727</v>
      </c>
      <c r="F45" s="76">
        <f t="shared" si="2"/>
        <v>0.56584724472306358</v>
      </c>
    </row>
    <row r="46" spans="1:6">
      <c r="A46" s="89" t="s">
        <v>127</v>
      </c>
      <c r="B46" s="139">
        <v>45</v>
      </c>
      <c r="C46" s="142">
        <v>332</v>
      </c>
      <c r="D46" s="79">
        <f t="shared" si="0"/>
        <v>377</v>
      </c>
      <c r="E46" s="75">
        <f t="shared" si="1"/>
        <v>11.936339522546419</v>
      </c>
      <c r="F46" s="76">
        <f t="shared" si="2"/>
        <v>0.2212908830504097</v>
      </c>
    </row>
    <row r="47" spans="1:6">
      <c r="A47" s="89" t="s">
        <v>128</v>
      </c>
      <c r="B47" s="139">
        <v>166</v>
      </c>
      <c r="C47" s="142">
        <v>664</v>
      </c>
      <c r="D47" s="79">
        <f t="shared" si="0"/>
        <v>830</v>
      </c>
      <c r="E47" s="75">
        <f t="shared" si="1"/>
        <v>20</v>
      </c>
      <c r="F47" s="76">
        <f t="shared" si="2"/>
        <v>0.48719212979267923</v>
      </c>
    </row>
    <row r="48" spans="1:6">
      <c r="A48" s="89" t="s">
        <v>129</v>
      </c>
      <c r="B48" s="139">
        <v>188</v>
      </c>
      <c r="C48" s="140">
        <v>2532</v>
      </c>
      <c r="D48" s="79">
        <f t="shared" si="0"/>
        <v>2720</v>
      </c>
      <c r="E48" s="75">
        <f t="shared" si="1"/>
        <v>6.9117647058823533</v>
      </c>
      <c r="F48" s="76">
        <f t="shared" si="2"/>
        <v>1.5965814373928764</v>
      </c>
    </row>
    <row r="49" spans="1:6">
      <c r="A49" s="89" t="s">
        <v>130</v>
      </c>
      <c r="B49" s="139">
        <v>272</v>
      </c>
      <c r="C49" s="140">
        <v>2086</v>
      </c>
      <c r="D49" s="79">
        <f t="shared" si="0"/>
        <v>2358</v>
      </c>
      <c r="E49" s="75">
        <f t="shared" si="1"/>
        <v>11.535199321458864</v>
      </c>
      <c r="F49" s="76">
        <f t="shared" si="2"/>
        <v>1.3840952313869128</v>
      </c>
    </row>
    <row r="50" spans="1:6">
      <c r="A50" s="90" t="s">
        <v>131</v>
      </c>
      <c r="B50" s="139">
        <v>276</v>
      </c>
      <c r="C50" s="140">
        <v>1136</v>
      </c>
      <c r="D50" s="79">
        <f t="shared" si="0"/>
        <v>1412</v>
      </c>
      <c r="E50" s="75">
        <f t="shared" si="1"/>
        <v>19.546742209631727</v>
      </c>
      <c r="F50" s="76">
        <f t="shared" si="2"/>
        <v>0.82881359911718433</v>
      </c>
    </row>
    <row r="51" spans="1:6">
      <c r="A51" s="90" t="s">
        <v>132</v>
      </c>
      <c r="B51" s="139">
        <v>814</v>
      </c>
      <c r="C51" s="142">
        <v>218</v>
      </c>
      <c r="D51" s="79">
        <f t="shared" si="0"/>
        <v>1032</v>
      </c>
      <c r="E51" s="75">
        <f t="shared" si="1"/>
        <v>78.875968992248062</v>
      </c>
      <c r="F51" s="76">
        <f t="shared" si="2"/>
        <v>0.60576178065788544</v>
      </c>
    </row>
    <row r="52" spans="1:6">
      <c r="A52" s="87"/>
      <c r="B52" s="101">
        <f>SUM(B5:B51)</f>
        <v>37798</v>
      </c>
      <c r="C52" s="101">
        <f t="shared" ref="C52:D52" si="3">SUM(C5:C51)</f>
        <v>132566</v>
      </c>
      <c r="D52" s="101">
        <f t="shared" si="3"/>
        <v>170364</v>
      </c>
      <c r="E52" s="102">
        <f>(B52*100)/D52</f>
        <v>22.186612195064686</v>
      </c>
      <c r="F52" s="100"/>
    </row>
  </sheetData>
  <mergeCells count="1">
    <mergeCell ref="A2:F2"/>
  </mergeCells>
  <pageMargins left="0.7" right="0.7" top="0.75" bottom="0.75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9" workbookViewId="0">
      <selection activeCell="B27" sqref="B27"/>
    </sheetView>
  </sheetViews>
  <sheetFormatPr defaultRowHeight="12.75"/>
  <cols>
    <col min="1" max="1" width="23.7109375" bestFit="1" customWidth="1"/>
    <col min="3" max="3" width="10.85546875" customWidth="1"/>
    <col min="5" max="5" width="10.7109375" customWidth="1"/>
    <col min="6" max="6" width="11" customWidth="1"/>
    <col min="7" max="7" width="23.71093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144</v>
      </c>
      <c r="B2" s="155"/>
      <c r="C2" s="155"/>
      <c r="D2" s="155"/>
      <c r="E2" s="155"/>
      <c r="F2" s="155"/>
    </row>
    <row r="3" spans="1:6" ht="15">
      <c r="A3" s="156" t="s">
        <v>145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19.5" customHeight="1">
      <c r="A5" s="45" t="s">
        <v>80</v>
      </c>
      <c r="B5" s="93" t="s">
        <v>81</v>
      </c>
      <c r="C5" s="94" t="s">
        <v>82</v>
      </c>
      <c r="D5" s="86" t="s">
        <v>83</v>
      </c>
      <c r="E5" s="110" t="s">
        <v>134</v>
      </c>
      <c r="F5" s="95" t="s">
        <v>85</v>
      </c>
    </row>
    <row r="6" spans="1:6">
      <c r="A6" s="83" t="s">
        <v>86</v>
      </c>
      <c r="B6" s="57">
        <v>353</v>
      </c>
      <c r="C6" s="42">
        <v>1829</v>
      </c>
      <c r="D6" s="42">
        <v>2182</v>
      </c>
      <c r="E6" s="109">
        <f>(B6*100)/D6</f>
        <v>16.177818515123739</v>
      </c>
      <c r="F6" s="96">
        <f>(D6*100)/$D$53</f>
        <v>1.2665134313110911</v>
      </c>
    </row>
    <row r="7" spans="1:6">
      <c r="A7" s="84" t="s">
        <v>87</v>
      </c>
      <c r="B7" s="57">
        <v>178</v>
      </c>
      <c r="C7" s="42">
        <v>1564</v>
      </c>
      <c r="D7" s="42">
        <v>1742</v>
      </c>
      <c r="E7" s="109">
        <f t="shared" ref="E7:E52" si="0">(B7*100)/D7</f>
        <v>10.218140068886338</v>
      </c>
      <c r="F7" s="96">
        <f>(D7*100)/$D$53</f>
        <v>1.0111211720182953</v>
      </c>
    </row>
    <row r="8" spans="1:6">
      <c r="A8" s="84" t="s">
        <v>88</v>
      </c>
      <c r="B8" s="57">
        <v>1189</v>
      </c>
      <c r="C8" s="42">
        <v>1771</v>
      </c>
      <c r="D8" s="42">
        <v>2960</v>
      </c>
      <c r="E8" s="109">
        <f t="shared" si="0"/>
        <v>40.168918918918919</v>
      </c>
      <c r="F8" s="96">
        <f>(D8*100)/$D$53</f>
        <v>1.7180933806969887</v>
      </c>
    </row>
    <row r="9" spans="1:6">
      <c r="A9" s="84" t="s">
        <v>89</v>
      </c>
      <c r="B9" s="57">
        <v>103</v>
      </c>
      <c r="C9" s="42">
        <v>1431</v>
      </c>
      <c r="D9" s="42">
        <v>1534</v>
      </c>
      <c r="E9" s="109">
        <f t="shared" si="0"/>
        <v>6.7144719687092564</v>
      </c>
      <c r="F9" s="96">
        <f t="shared" ref="F9:F52" si="1">(D9*100)/$D$53</f>
        <v>0.89039028580715562</v>
      </c>
    </row>
    <row r="10" spans="1:6">
      <c r="A10" s="84" t="s">
        <v>90</v>
      </c>
      <c r="B10" s="57">
        <v>115</v>
      </c>
      <c r="C10" s="42">
        <v>287</v>
      </c>
      <c r="D10" s="42">
        <v>402</v>
      </c>
      <c r="E10" s="109">
        <f t="shared" si="0"/>
        <v>28.606965174129353</v>
      </c>
      <c r="F10" s="96">
        <f t="shared" si="1"/>
        <v>0.23333565508114509</v>
      </c>
    </row>
    <row r="11" spans="1:6">
      <c r="A11" s="84" t="s">
        <v>91</v>
      </c>
      <c r="B11" s="57">
        <v>3440</v>
      </c>
      <c r="C11" s="42">
        <v>4521</v>
      </c>
      <c r="D11" s="42">
        <v>7961</v>
      </c>
      <c r="E11" s="109">
        <f t="shared" si="0"/>
        <v>43.21065192814973</v>
      </c>
      <c r="F11" s="96">
        <f t="shared" si="1"/>
        <v>4.6208585823407864</v>
      </c>
    </row>
    <row r="12" spans="1:6">
      <c r="A12" s="84" t="s">
        <v>92</v>
      </c>
      <c r="B12" s="57">
        <v>1340</v>
      </c>
      <c r="C12" s="42">
        <v>2578</v>
      </c>
      <c r="D12" s="42">
        <v>3918</v>
      </c>
      <c r="E12" s="109">
        <f t="shared" si="0"/>
        <v>34.201123021949975</v>
      </c>
      <c r="F12" s="96">
        <f t="shared" si="1"/>
        <v>2.2741519816117575</v>
      </c>
    </row>
    <row r="13" spans="1:6">
      <c r="A13" s="83" t="s">
        <v>93</v>
      </c>
      <c r="B13" s="57">
        <v>69</v>
      </c>
      <c r="C13" s="42">
        <v>99</v>
      </c>
      <c r="D13" s="42">
        <v>168</v>
      </c>
      <c r="E13" s="109">
        <f t="shared" si="0"/>
        <v>41.071428571428569</v>
      </c>
      <c r="F13" s="96">
        <f t="shared" si="1"/>
        <v>9.7513408093612877E-2</v>
      </c>
    </row>
    <row r="14" spans="1:6">
      <c r="A14" s="84" t="s">
        <v>94</v>
      </c>
      <c r="B14" s="57">
        <v>357</v>
      </c>
      <c r="C14" s="42">
        <v>1848</v>
      </c>
      <c r="D14" s="42">
        <v>2205</v>
      </c>
      <c r="E14" s="109">
        <f t="shared" si="0"/>
        <v>16.19047619047619</v>
      </c>
      <c r="F14" s="96">
        <f t="shared" si="1"/>
        <v>1.2798634812286689</v>
      </c>
    </row>
    <row r="15" spans="1:6">
      <c r="A15" s="84" t="s">
        <v>95</v>
      </c>
      <c r="B15" s="57">
        <v>427</v>
      </c>
      <c r="C15" s="42">
        <v>938</v>
      </c>
      <c r="D15" s="42">
        <v>1365</v>
      </c>
      <c r="E15" s="109">
        <f t="shared" si="0"/>
        <v>31.282051282051281</v>
      </c>
      <c r="F15" s="96">
        <f t="shared" si="1"/>
        <v>0.79229644076060457</v>
      </c>
    </row>
    <row r="16" spans="1:6">
      <c r="A16" s="84" t="s">
        <v>96</v>
      </c>
      <c r="B16" s="57">
        <v>137</v>
      </c>
      <c r="C16" s="42">
        <v>17236</v>
      </c>
      <c r="D16" s="42">
        <v>17373</v>
      </c>
      <c r="E16" s="109">
        <f t="shared" si="0"/>
        <v>0.78857998042940192</v>
      </c>
      <c r="F16" s="96">
        <f t="shared" si="1"/>
        <v>10.08393118339486</v>
      </c>
    </row>
    <row r="17" spans="1:6">
      <c r="A17" s="84" t="s">
        <v>97</v>
      </c>
      <c r="B17" s="57">
        <v>317</v>
      </c>
      <c r="C17" s="42">
        <v>7811</v>
      </c>
      <c r="D17" s="42">
        <v>8128</v>
      </c>
      <c r="E17" s="109">
        <f t="shared" si="0"/>
        <v>3.9000984251968505</v>
      </c>
      <c r="F17" s="96">
        <f t="shared" si="1"/>
        <v>4.7177915534814607</v>
      </c>
    </row>
    <row r="18" spans="1:6">
      <c r="A18" s="83" t="s">
        <v>98</v>
      </c>
      <c r="B18" s="57">
        <v>17</v>
      </c>
      <c r="C18" s="42">
        <v>478</v>
      </c>
      <c r="D18" s="42">
        <v>495</v>
      </c>
      <c r="E18" s="109">
        <f t="shared" si="0"/>
        <v>3.4343434343434343</v>
      </c>
      <c r="F18" s="96">
        <f t="shared" si="1"/>
        <v>0.28731629170439504</v>
      </c>
    </row>
    <row r="19" spans="1:6">
      <c r="A19" s="83" t="s">
        <v>99</v>
      </c>
      <c r="B19" s="57">
        <v>1169</v>
      </c>
      <c r="C19" s="42">
        <v>1906</v>
      </c>
      <c r="D19" s="42">
        <v>3075</v>
      </c>
      <c r="E19" s="109">
        <f t="shared" si="0"/>
        <v>38.016260162601625</v>
      </c>
      <c r="F19" s="96">
        <f t="shared" si="1"/>
        <v>1.7848436302848785</v>
      </c>
    </row>
    <row r="20" spans="1:6">
      <c r="A20" s="83" t="s">
        <v>100</v>
      </c>
      <c r="B20" s="114">
        <v>149</v>
      </c>
      <c r="C20" s="42">
        <v>598</v>
      </c>
      <c r="D20" s="42">
        <v>747</v>
      </c>
      <c r="E20" s="109">
        <f t="shared" si="0"/>
        <v>19.946452476572958</v>
      </c>
      <c r="F20" s="96">
        <f t="shared" si="1"/>
        <v>0.43358640384481439</v>
      </c>
    </row>
    <row r="21" spans="1:6">
      <c r="A21" s="84" t="s">
        <v>101</v>
      </c>
      <c r="B21" s="57">
        <v>52</v>
      </c>
      <c r="C21" s="42">
        <v>130</v>
      </c>
      <c r="D21" s="42">
        <v>182</v>
      </c>
      <c r="E21" s="109">
        <f t="shared" si="0"/>
        <v>28.571428571428573</v>
      </c>
      <c r="F21" s="96">
        <f t="shared" si="1"/>
        <v>0.10563952543474728</v>
      </c>
    </row>
    <row r="22" spans="1:6">
      <c r="A22" s="84" t="s">
        <v>102</v>
      </c>
      <c r="B22" s="57">
        <v>3202</v>
      </c>
      <c r="C22" s="42">
        <v>25297</v>
      </c>
      <c r="D22" s="42">
        <v>28499</v>
      </c>
      <c r="E22" s="109">
        <f t="shared" si="0"/>
        <v>11.235481946734973</v>
      </c>
      <c r="F22" s="96">
        <f t="shared" si="1"/>
        <v>16.541872721784959</v>
      </c>
    </row>
    <row r="23" spans="1:6">
      <c r="A23" s="84" t="s">
        <v>103</v>
      </c>
      <c r="B23" s="57">
        <v>718</v>
      </c>
      <c r="C23" s="42">
        <v>32</v>
      </c>
      <c r="D23" s="42">
        <v>750</v>
      </c>
      <c r="E23" s="109">
        <f t="shared" si="0"/>
        <v>95.733333333333334</v>
      </c>
      <c r="F23" s="96">
        <f t="shared" si="1"/>
        <v>0.43532771470362891</v>
      </c>
    </row>
    <row r="24" spans="1:6">
      <c r="A24" s="84" t="s">
        <v>104</v>
      </c>
      <c r="B24" s="57">
        <v>5975</v>
      </c>
      <c r="C24" s="42">
        <v>11735</v>
      </c>
      <c r="D24" s="42">
        <v>17710</v>
      </c>
      <c r="E24" s="109">
        <f t="shared" si="0"/>
        <v>33.738001129305481</v>
      </c>
      <c r="F24" s="96">
        <f t="shared" si="1"/>
        <v>10.279538436535024</v>
      </c>
    </row>
    <row r="25" spans="1:6">
      <c r="A25" s="84" t="s">
        <v>105</v>
      </c>
      <c r="B25" s="57">
        <v>26</v>
      </c>
      <c r="C25" s="42">
        <v>144</v>
      </c>
      <c r="D25" s="42">
        <v>170</v>
      </c>
      <c r="E25" s="109">
        <f t="shared" si="0"/>
        <v>15.294117647058824</v>
      </c>
      <c r="F25" s="96">
        <f t="shared" si="1"/>
        <v>9.8674281999489216E-2</v>
      </c>
    </row>
    <row r="26" spans="1:6">
      <c r="A26" s="84" t="s">
        <v>106</v>
      </c>
      <c r="B26" s="57">
        <v>454</v>
      </c>
      <c r="C26" s="42">
        <v>1127</v>
      </c>
      <c r="D26" s="42">
        <v>1581</v>
      </c>
      <c r="E26" s="109">
        <f t="shared" si="0"/>
        <v>28.716002530044275</v>
      </c>
      <c r="F26" s="96">
        <f t="shared" si="1"/>
        <v>0.91767082259524968</v>
      </c>
    </row>
    <row r="27" spans="1:6">
      <c r="A27" s="84" t="s">
        <v>107</v>
      </c>
      <c r="B27" s="57">
        <v>362</v>
      </c>
      <c r="C27" s="42">
        <v>493</v>
      </c>
      <c r="D27" s="42">
        <v>855</v>
      </c>
      <c r="E27" s="109">
        <f t="shared" si="0"/>
        <v>42.33918128654971</v>
      </c>
      <c r="F27" s="96">
        <f t="shared" si="1"/>
        <v>0.49627359476213695</v>
      </c>
    </row>
    <row r="28" spans="1:6">
      <c r="A28" s="84" t="s">
        <v>108</v>
      </c>
      <c r="B28" s="57">
        <v>249</v>
      </c>
      <c r="C28" s="42">
        <v>1129</v>
      </c>
      <c r="D28" s="42">
        <v>1377</v>
      </c>
      <c r="E28" s="109">
        <f t="shared" si="0"/>
        <v>18.082788671023966</v>
      </c>
      <c r="F28" s="96">
        <f t="shared" si="1"/>
        <v>0.79926168419586263</v>
      </c>
    </row>
    <row r="29" spans="1:6">
      <c r="A29" s="83" t="s">
        <v>109</v>
      </c>
      <c r="B29" s="57">
        <v>110</v>
      </c>
      <c r="C29" s="42">
        <v>742</v>
      </c>
      <c r="D29" s="42">
        <v>852</v>
      </c>
      <c r="E29" s="109">
        <f t="shared" si="0"/>
        <v>12.910798122065728</v>
      </c>
      <c r="F29" s="96">
        <f t="shared" si="1"/>
        <v>0.49453228390332243</v>
      </c>
    </row>
    <row r="30" spans="1:6">
      <c r="A30" s="84" t="s">
        <v>110</v>
      </c>
      <c r="B30" s="57">
        <v>376</v>
      </c>
      <c r="C30" s="42">
        <v>836</v>
      </c>
      <c r="D30" s="42">
        <v>1212</v>
      </c>
      <c r="E30" s="109">
        <f t="shared" si="0"/>
        <v>31.023102310231025</v>
      </c>
      <c r="F30" s="96">
        <f t="shared" si="1"/>
        <v>0.70348958696106434</v>
      </c>
    </row>
    <row r="31" spans="1:6">
      <c r="A31" s="83" t="s">
        <v>111</v>
      </c>
      <c r="B31" s="57">
        <v>58</v>
      </c>
      <c r="C31" s="42">
        <v>245</v>
      </c>
      <c r="D31" s="42">
        <v>303</v>
      </c>
      <c r="E31" s="109">
        <f t="shared" si="0"/>
        <v>19.141914191419144</v>
      </c>
      <c r="F31" s="96">
        <f t="shared" si="1"/>
        <v>0.17587239674026608</v>
      </c>
    </row>
    <row r="32" spans="1:6">
      <c r="A32" s="84" t="s">
        <v>112</v>
      </c>
      <c r="B32" s="57">
        <v>9747</v>
      </c>
      <c r="C32" s="42">
        <v>23725</v>
      </c>
      <c r="D32" s="42">
        <v>33472</v>
      </c>
      <c r="E32" s="109">
        <f t="shared" si="0"/>
        <v>29.11986137667304</v>
      </c>
      <c r="F32" s="96">
        <f t="shared" si="1"/>
        <v>19.428385688746488</v>
      </c>
    </row>
    <row r="33" spans="1:6">
      <c r="A33" s="84" t="s">
        <v>113</v>
      </c>
      <c r="B33" s="57">
        <v>14</v>
      </c>
      <c r="C33" s="42">
        <v>542</v>
      </c>
      <c r="D33" s="42">
        <v>556</v>
      </c>
      <c r="E33" s="109">
        <f t="shared" si="0"/>
        <v>2.5179856115107913</v>
      </c>
      <c r="F33" s="96">
        <f t="shared" si="1"/>
        <v>0.32272294583362354</v>
      </c>
    </row>
    <row r="34" spans="1:6">
      <c r="A34" s="84" t="s">
        <v>114</v>
      </c>
      <c r="B34" s="57">
        <v>1472</v>
      </c>
      <c r="C34" s="42">
        <v>1932</v>
      </c>
      <c r="D34" s="42">
        <v>3404</v>
      </c>
      <c r="E34" s="109">
        <f t="shared" si="0"/>
        <v>43.243243243243242</v>
      </c>
      <c r="F34" s="96">
        <f t="shared" si="1"/>
        <v>1.975807387801537</v>
      </c>
    </row>
    <row r="35" spans="1:6">
      <c r="A35" s="84" t="s">
        <v>115</v>
      </c>
      <c r="B35" s="57">
        <v>1119</v>
      </c>
      <c r="C35" s="42">
        <v>2030</v>
      </c>
      <c r="D35" s="42">
        <v>3149</v>
      </c>
      <c r="E35" s="109">
        <f t="shared" si="0"/>
        <v>35.535090504922195</v>
      </c>
      <c r="F35" s="96">
        <f t="shared" si="1"/>
        <v>1.8277959648023032</v>
      </c>
    </row>
    <row r="36" spans="1:6">
      <c r="A36" s="84" t="s">
        <v>116</v>
      </c>
      <c r="B36" s="57">
        <v>168</v>
      </c>
      <c r="C36" s="42">
        <v>465</v>
      </c>
      <c r="D36" s="42">
        <v>633</v>
      </c>
      <c r="E36" s="109">
        <f t="shared" si="0"/>
        <v>26.540284360189574</v>
      </c>
      <c r="F36" s="96">
        <f t="shared" si="1"/>
        <v>0.36741659120986281</v>
      </c>
    </row>
    <row r="37" spans="1:6">
      <c r="A37" s="83" t="s">
        <v>117</v>
      </c>
      <c r="B37" s="57">
        <v>208</v>
      </c>
      <c r="C37" s="42">
        <v>2206</v>
      </c>
      <c r="D37" s="42">
        <v>2414</v>
      </c>
      <c r="E37" s="109">
        <f t="shared" si="0"/>
        <v>8.6164043082021546</v>
      </c>
      <c r="F37" s="96">
        <f t="shared" si="1"/>
        <v>1.4011748043927468</v>
      </c>
    </row>
    <row r="38" spans="1:6">
      <c r="A38" s="83" t="s">
        <v>118</v>
      </c>
      <c r="B38" s="57">
        <v>45</v>
      </c>
      <c r="C38" s="42">
        <v>1033</v>
      </c>
      <c r="D38" s="42">
        <v>1078</v>
      </c>
      <c r="E38" s="109">
        <f t="shared" si="0"/>
        <v>4.1743970315398888</v>
      </c>
      <c r="F38" s="96">
        <f t="shared" si="1"/>
        <v>0.62571103526734928</v>
      </c>
    </row>
    <row r="39" spans="1:6">
      <c r="A39" s="84" t="s">
        <v>119</v>
      </c>
      <c r="B39" s="57">
        <v>28</v>
      </c>
      <c r="C39" s="42">
        <v>143</v>
      </c>
      <c r="D39" s="42">
        <v>171</v>
      </c>
      <c r="E39" s="109">
        <f t="shared" si="0"/>
        <v>16.374269005847953</v>
      </c>
      <c r="F39" s="96">
        <f t="shared" si="1"/>
        <v>9.9254718952427393E-2</v>
      </c>
    </row>
    <row r="40" spans="1:6">
      <c r="A40" s="84" t="s">
        <v>120</v>
      </c>
      <c r="B40" s="57">
        <v>270</v>
      </c>
      <c r="C40" s="42">
        <v>876</v>
      </c>
      <c r="D40" s="42">
        <v>1146</v>
      </c>
      <c r="E40" s="109">
        <f t="shared" si="0"/>
        <v>23.560209424083769</v>
      </c>
      <c r="F40" s="96">
        <f t="shared" si="1"/>
        <v>0.665180748067145</v>
      </c>
    </row>
    <row r="41" spans="1:6">
      <c r="A41" s="84" t="s">
        <v>121</v>
      </c>
      <c r="B41" s="57">
        <v>709</v>
      </c>
      <c r="C41" s="42">
        <v>1988</v>
      </c>
      <c r="D41" s="42">
        <v>2697</v>
      </c>
      <c r="E41" s="109">
        <f t="shared" si="0"/>
        <v>26.288468668891362</v>
      </c>
      <c r="F41" s="96">
        <f t="shared" si="1"/>
        <v>1.5654384620742494</v>
      </c>
    </row>
    <row r="42" spans="1:6">
      <c r="A42" s="84" t="s">
        <v>122</v>
      </c>
      <c r="B42" s="57">
        <v>277</v>
      </c>
      <c r="C42" s="42">
        <v>1553</v>
      </c>
      <c r="D42" s="42">
        <v>1830</v>
      </c>
      <c r="E42" s="109">
        <f t="shared" si="0"/>
        <v>15.136612021857923</v>
      </c>
      <c r="F42" s="96">
        <f t="shared" si="1"/>
        <v>1.0621996238768545</v>
      </c>
    </row>
    <row r="43" spans="1:6">
      <c r="A43" s="84" t="s">
        <v>123</v>
      </c>
      <c r="B43" s="57">
        <v>42</v>
      </c>
      <c r="C43" s="42">
        <v>267</v>
      </c>
      <c r="D43" s="42">
        <v>309</v>
      </c>
      <c r="E43" s="109">
        <f t="shared" si="0"/>
        <v>13.592233009708737</v>
      </c>
      <c r="F43" s="96">
        <f t="shared" si="1"/>
        <v>0.17935501845789512</v>
      </c>
    </row>
    <row r="44" spans="1:6">
      <c r="A44" s="84" t="s">
        <v>124</v>
      </c>
      <c r="B44" s="57">
        <v>562</v>
      </c>
      <c r="C44" s="42">
        <v>2783</v>
      </c>
      <c r="D44" s="42">
        <v>3345</v>
      </c>
      <c r="E44" s="109">
        <f t="shared" si="0"/>
        <v>16.801195814648729</v>
      </c>
      <c r="F44" s="96">
        <f t="shared" si="1"/>
        <v>1.941561607578185</v>
      </c>
    </row>
    <row r="45" spans="1:6">
      <c r="A45" s="84" t="s">
        <v>125</v>
      </c>
      <c r="B45" s="57">
        <v>195</v>
      </c>
      <c r="C45" s="42">
        <v>399</v>
      </c>
      <c r="D45" s="42">
        <v>594</v>
      </c>
      <c r="E45" s="109">
        <f t="shared" si="0"/>
        <v>32.828282828282831</v>
      </c>
      <c r="F45" s="96">
        <f t="shared" si="1"/>
        <v>0.34477955004527411</v>
      </c>
    </row>
    <row r="46" spans="1:6">
      <c r="A46" s="84" t="s">
        <v>126</v>
      </c>
      <c r="B46" s="57">
        <v>260</v>
      </c>
      <c r="C46" s="42">
        <v>805</v>
      </c>
      <c r="D46" s="42">
        <v>1065</v>
      </c>
      <c r="E46" s="109">
        <f t="shared" si="0"/>
        <v>24.413145539906104</v>
      </c>
      <c r="F46" s="96">
        <f t="shared" si="1"/>
        <v>0.61816535487915303</v>
      </c>
    </row>
    <row r="47" spans="1:6">
      <c r="A47" s="83" t="s">
        <v>127</v>
      </c>
      <c r="B47" s="57">
        <v>58</v>
      </c>
      <c r="C47" s="42">
        <v>466</v>
      </c>
      <c r="D47" s="42">
        <v>524</v>
      </c>
      <c r="E47" s="109">
        <f t="shared" si="0"/>
        <v>11.068702290076336</v>
      </c>
      <c r="F47" s="96">
        <f t="shared" si="1"/>
        <v>0.30414896333960206</v>
      </c>
    </row>
    <row r="48" spans="1:6">
      <c r="A48" s="83" t="s">
        <v>128</v>
      </c>
      <c r="B48" s="57">
        <v>157</v>
      </c>
      <c r="C48" s="42">
        <v>644</v>
      </c>
      <c r="D48" s="42">
        <v>801</v>
      </c>
      <c r="E48" s="109">
        <f t="shared" si="0"/>
        <v>19.600499375780274</v>
      </c>
      <c r="F48" s="96">
        <f t="shared" si="1"/>
        <v>0.46492999930347567</v>
      </c>
    </row>
    <row r="49" spans="1:6">
      <c r="A49" s="83" t="s">
        <v>129</v>
      </c>
      <c r="B49" s="57">
        <v>164</v>
      </c>
      <c r="C49" s="42">
        <v>2446</v>
      </c>
      <c r="D49" s="42">
        <v>2640</v>
      </c>
      <c r="E49" s="109">
        <f t="shared" si="0"/>
        <v>6.2121212121212119</v>
      </c>
      <c r="F49" s="96">
        <f t="shared" si="1"/>
        <v>1.5323535557567738</v>
      </c>
    </row>
    <row r="50" spans="1:6">
      <c r="A50" s="83" t="s">
        <v>130</v>
      </c>
      <c r="B50" s="57">
        <v>319</v>
      </c>
      <c r="C50" s="42">
        <v>1959</v>
      </c>
      <c r="D50" s="42">
        <v>2278</v>
      </c>
      <c r="E50" s="109">
        <f t="shared" si="0"/>
        <v>14.003511852502195</v>
      </c>
      <c r="F50" s="96">
        <f t="shared" si="1"/>
        <v>1.3222353787931556</v>
      </c>
    </row>
    <row r="51" spans="1:6">
      <c r="A51" s="84" t="s">
        <v>131</v>
      </c>
      <c r="B51" s="57">
        <v>294</v>
      </c>
      <c r="C51" s="42">
        <v>1108</v>
      </c>
      <c r="D51" s="42">
        <v>1402</v>
      </c>
      <c r="E51" s="109">
        <f t="shared" si="0"/>
        <v>20.970042796005707</v>
      </c>
      <c r="F51" s="96">
        <f t="shared" si="1"/>
        <v>0.81377260801931695</v>
      </c>
    </row>
    <row r="52" spans="1:6">
      <c r="A52" s="84" t="s">
        <v>132</v>
      </c>
      <c r="B52" s="57">
        <v>825</v>
      </c>
      <c r="C52" s="42">
        <v>205</v>
      </c>
      <c r="D52" s="42">
        <v>1030</v>
      </c>
      <c r="E52" s="109">
        <f t="shared" si="0"/>
        <v>80.097087378640779</v>
      </c>
      <c r="F52" s="96">
        <f t="shared" si="1"/>
        <v>0.59785006152631703</v>
      </c>
    </row>
    <row r="53" spans="1:6">
      <c r="A53" s="52"/>
      <c r="B53" s="108">
        <f>SUM(B6:B52)</f>
        <v>37875</v>
      </c>
      <c r="C53" s="108">
        <f>SUM(C6:C52)</f>
        <v>134380</v>
      </c>
      <c r="D53" s="108">
        <f>SUM(D6:D52)</f>
        <v>172284</v>
      </c>
      <c r="E53" s="111">
        <f>(B53*100)/D53</f>
        <v>21.98404959253326</v>
      </c>
      <c r="F53" s="97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2" workbookViewId="0">
      <selection activeCell="B30" sqref="B30:B52"/>
    </sheetView>
  </sheetViews>
  <sheetFormatPr defaultRowHeight="12.75"/>
  <cols>
    <col min="1" max="1" width="23.7109375" bestFit="1" customWidth="1"/>
    <col min="3" max="3" width="11.5703125" customWidth="1"/>
    <col min="4" max="4" width="9" bestFit="1" customWidth="1"/>
    <col min="5" max="5" width="10.28515625" customWidth="1"/>
    <col min="6" max="6" width="11.28515625" customWidth="1"/>
    <col min="7" max="7" width="23.71093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147</v>
      </c>
      <c r="B2" s="155"/>
      <c r="C2" s="155"/>
      <c r="D2" s="155"/>
      <c r="E2" s="155"/>
      <c r="F2" s="155"/>
    </row>
    <row r="3" spans="1:6" ht="15">
      <c r="A3" s="156" t="s">
        <v>146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21" customHeight="1">
      <c r="A5" s="45" t="s">
        <v>80</v>
      </c>
      <c r="B5" s="93" t="s">
        <v>81</v>
      </c>
      <c r="C5" s="94" t="s">
        <v>82</v>
      </c>
      <c r="D5" s="86" t="s">
        <v>83</v>
      </c>
      <c r="E5" s="110" t="s">
        <v>134</v>
      </c>
      <c r="F5" s="95" t="s">
        <v>85</v>
      </c>
    </row>
    <row r="6" spans="1:6">
      <c r="A6" s="83" t="s">
        <v>86</v>
      </c>
      <c r="B6" s="113">
        <v>423</v>
      </c>
      <c r="C6" s="58">
        <v>1928</v>
      </c>
      <c r="D6" s="91">
        <f>SUM(B6:C6)</f>
        <v>2351</v>
      </c>
      <c r="E6" s="109">
        <f>(B6*100)/D6</f>
        <v>17.99234368353892</v>
      </c>
      <c r="F6" s="96">
        <f>(D6*100)/$D$53</f>
        <v>1.3443350373394631</v>
      </c>
    </row>
    <row r="7" spans="1:6">
      <c r="A7" s="84" t="s">
        <v>87</v>
      </c>
      <c r="B7" s="113">
        <v>181</v>
      </c>
      <c r="C7" s="58">
        <v>1568</v>
      </c>
      <c r="D7" s="91">
        <f t="shared" ref="D7:D52" si="0">SUM(B7:C7)</f>
        <v>1749</v>
      </c>
      <c r="E7" s="109">
        <f t="shared" ref="E7:E53" si="1">(B7*100)/D7</f>
        <v>10.348770726129217</v>
      </c>
      <c r="F7" s="96">
        <f>(D7*100)/$D$53</f>
        <v>1.0001029265447559</v>
      </c>
    </row>
    <row r="8" spans="1:6">
      <c r="A8" s="84" t="s">
        <v>88</v>
      </c>
      <c r="B8" s="113">
        <v>1352</v>
      </c>
      <c r="C8" s="58">
        <v>1862</v>
      </c>
      <c r="D8" s="91">
        <f t="shared" si="0"/>
        <v>3214</v>
      </c>
      <c r="E8" s="109">
        <f t="shared" si="1"/>
        <v>42.065961418792782</v>
      </c>
      <c r="F8" s="96">
        <f>(D8*100)/$D$53</f>
        <v>1.8378106380302146</v>
      </c>
    </row>
    <row r="9" spans="1:6">
      <c r="A9" s="84" t="s">
        <v>89</v>
      </c>
      <c r="B9" s="113">
        <v>127</v>
      </c>
      <c r="C9" s="58">
        <v>1421</v>
      </c>
      <c r="D9" s="91">
        <f t="shared" si="0"/>
        <v>1548</v>
      </c>
      <c r="E9" s="109">
        <f t="shared" si="1"/>
        <v>8.2041343669250644</v>
      </c>
      <c r="F9" s="96">
        <f t="shared" ref="F9:F52" si="2">(D9*100)/$D$53</f>
        <v>0.88516828490067589</v>
      </c>
    </row>
    <row r="10" spans="1:6">
      <c r="A10" s="84" t="s">
        <v>90</v>
      </c>
      <c r="B10" s="113">
        <v>116</v>
      </c>
      <c r="C10" s="58">
        <v>162</v>
      </c>
      <c r="D10" s="91">
        <f t="shared" si="0"/>
        <v>278</v>
      </c>
      <c r="E10" s="109">
        <f t="shared" si="1"/>
        <v>41.726618705035975</v>
      </c>
      <c r="F10" s="96">
        <f t="shared" si="2"/>
        <v>0.1589643302341007</v>
      </c>
    </row>
    <row r="11" spans="1:6">
      <c r="A11" s="84" t="s">
        <v>91</v>
      </c>
      <c r="B11" s="113">
        <v>3633</v>
      </c>
      <c r="C11" s="58">
        <v>4454</v>
      </c>
      <c r="D11" s="91">
        <f t="shared" si="0"/>
        <v>8087</v>
      </c>
      <c r="E11" s="109">
        <f t="shared" si="1"/>
        <v>44.923952021763327</v>
      </c>
      <c r="F11" s="96">
        <f t="shared" si="2"/>
        <v>4.6242609302272388</v>
      </c>
    </row>
    <row r="12" spans="1:6">
      <c r="A12" s="84" t="s">
        <v>92</v>
      </c>
      <c r="B12" s="113">
        <v>1800</v>
      </c>
      <c r="C12" s="58">
        <v>2803</v>
      </c>
      <c r="D12" s="91">
        <f t="shared" si="0"/>
        <v>4603</v>
      </c>
      <c r="E12" s="109">
        <f t="shared" si="1"/>
        <v>39.104931566369757</v>
      </c>
      <c r="F12" s="96">
        <f t="shared" si="2"/>
        <v>2.6320604750631853</v>
      </c>
    </row>
    <row r="13" spans="1:6">
      <c r="A13" s="83" t="s">
        <v>93</v>
      </c>
      <c r="B13" s="113">
        <v>78</v>
      </c>
      <c r="C13" s="58">
        <v>202</v>
      </c>
      <c r="D13" s="91">
        <f t="shared" si="0"/>
        <v>280</v>
      </c>
      <c r="E13" s="109">
        <f t="shared" si="1"/>
        <v>27.857142857142858</v>
      </c>
      <c r="F13" s="96">
        <f t="shared" si="2"/>
        <v>0.16010795850916618</v>
      </c>
    </row>
    <row r="14" spans="1:6">
      <c r="A14" s="84" t="s">
        <v>94</v>
      </c>
      <c r="B14" s="113">
        <v>381</v>
      </c>
      <c r="C14" s="58">
        <v>1818</v>
      </c>
      <c r="D14" s="91">
        <f t="shared" si="0"/>
        <v>2199</v>
      </c>
      <c r="E14" s="109">
        <f t="shared" si="1"/>
        <v>17.32605729877217</v>
      </c>
      <c r="F14" s="96">
        <f t="shared" si="2"/>
        <v>1.2574192884344872</v>
      </c>
    </row>
    <row r="15" spans="1:6">
      <c r="A15" s="84" t="s">
        <v>95</v>
      </c>
      <c r="B15" s="113">
        <v>236</v>
      </c>
      <c r="C15" s="58">
        <v>842</v>
      </c>
      <c r="D15" s="91">
        <f t="shared" si="0"/>
        <v>1078</v>
      </c>
      <c r="E15" s="109">
        <f t="shared" si="1"/>
        <v>21.89239332096475</v>
      </c>
      <c r="F15" s="96">
        <f t="shared" si="2"/>
        <v>0.61641564026028983</v>
      </c>
    </row>
    <row r="16" spans="1:6">
      <c r="A16" s="84" t="s">
        <v>96</v>
      </c>
      <c r="B16" s="113">
        <v>118</v>
      </c>
      <c r="C16" s="58">
        <v>16844</v>
      </c>
      <c r="D16" s="91">
        <f t="shared" si="0"/>
        <v>16962</v>
      </c>
      <c r="E16" s="109">
        <f t="shared" si="1"/>
        <v>0.69567268010847783</v>
      </c>
      <c r="F16" s="96">
        <f t="shared" si="2"/>
        <v>9.6991114008302741</v>
      </c>
    </row>
    <row r="17" spans="1:6">
      <c r="A17" s="84" t="s">
        <v>97</v>
      </c>
      <c r="B17" s="113">
        <v>384</v>
      </c>
      <c r="C17" s="58">
        <v>7768</v>
      </c>
      <c r="D17" s="91">
        <f t="shared" si="0"/>
        <v>8152</v>
      </c>
      <c r="E17" s="109">
        <f t="shared" si="1"/>
        <v>4.7105004906771342</v>
      </c>
      <c r="F17" s="96">
        <f t="shared" si="2"/>
        <v>4.6614288491668665</v>
      </c>
    </row>
    <row r="18" spans="1:6">
      <c r="A18" s="83" t="s">
        <v>98</v>
      </c>
      <c r="B18" s="113">
        <v>19</v>
      </c>
      <c r="C18" s="58">
        <v>513</v>
      </c>
      <c r="D18" s="91">
        <f t="shared" si="0"/>
        <v>532</v>
      </c>
      <c r="E18" s="109">
        <f t="shared" si="1"/>
        <v>3.5714285714285716</v>
      </c>
      <c r="F18" s="96">
        <f t="shared" si="2"/>
        <v>0.30420512116741577</v>
      </c>
    </row>
    <row r="19" spans="1:6">
      <c r="A19" s="83" t="s">
        <v>99</v>
      </c>
      <c r="B19" s="113">
        <v>1323</v>
      </c>
      <c r="C19" s="58">
        <v>2047</v>
      </c>
      <c r="D19" s="91">
        <f t="shared" si="0"/>
        <v>3370</v>
      </c>
      <c r="E19" s="109">
        <f t="shared" si="1"/>
        <v>39.258160237388722</v>
      </c>
      <c r="F19" s="96">
        <f t="shared" si="2"/>
        <v>1.9270136434853216</v>
      </c>
    </row>
    <row r="20" spans="1:6">
      <c r="A20" s="83" t="s">
        <v>100</v>
      </c>
      <c r="B20" s="114">
        <v>129</v>
      </c>
      <c r="C20" s="58">
        <v>527</v>
      </c>
      <c r="D20" s="91">
        <f t="shared" si="0"/>
        <v>656</v>
      </c>
      <c r="E20" s="109">
        <f t="shared" si="1"/>
        <v>19.664634146341463</v>
      </c>
      <c r="F20" s="96">
        <f t="shared" si="2"/>
        <v>0.37511007422147508</v>
      </c>
    </row>
    <row r="21" spans="1:6">
      <c r="A21" s="84" t="s">
        <v>101</v>
      </c>
      <c r="B21" s="113">
        <v>78</v>
      </c>
      <c r="C21" s="58">
        <v>182</v>
      </c>
      <c r="D21" s="91">
        <f t="shared" si="0"/>
        <v>260</v>
      </c>
      <c r="E21" s="109">
        <f t="shared" si="1"/>
        <v>30</v>
      </c>
      <c r="F21" s="96">
        <f t="shared" si="2"/>
        <v>0.14867167575851145</v>
      </c>
    </row>
    <row r="22" spans="1:6">
      <c r="A22" s="84" t="s">
        <v>102</v>
      </c>
      <c r="B22" s="113">
        <v>3808</v>
      </c>
      <c r="C22" s="58">
        <v>25076</v>
      </c>
      <c r="D22" s="91">
        <f t="shared" si="0"/>
        <v>28884</v>
      </c>
      <c r="E22" s="109">
        <f t="shared" si="1"/>
        <v>13.183769561002631</v>
      </c>
      <c r="F22" s="96">
        <f t="shared" si="2"/>
        <v>16.516279548495557</v>
      </c>
    </row>
    <row r="23" spans="1:6">
      <c r="A23" s="84" t="s">
        <v>103</v>
      </c>
      <c r="B23" s="113">
        <v>1215</v>
      </c>
      <c r="C23" s="58">
        <v>79</v>
      </c>
      <c r="D23" s="91">
        <f t="shared" si="0"/>
        <v>1294</v>
      </c>
      <c r="E23" s="109">
        <f t="shared" si="1"/>
        <v>93.894899536321489</v>
      </c>
      <c r="F23" s="96">
        <f t="shared" si="2"/>
        <v>0.73992749396736079</v>
      </c>
    </row>
    <row r="24" spans="1:6">
      <c r="A24" s="84" t="s">
        <v>104</v>
      </c>
      <c r="B24" s="113">
        <v>5883</v>
      </c>
      <c r="C24" s="58">
        <v>11650</v>
      </c>
      <c r="D24" s="91">
        <f t="shared" si="0"/>
        <v>17533</v>
      </c>
      <c r="E24" s="109">
        <f t="shared" si="1"/>
        <v>33.55386984543432</v>
      </c>
      <c r="F24" s="96">
        <f t="shared" si="2"/>
        <v>10.025617273361467</v>
      </c>
    </row>
    <row r="25" spans="1:6">
      <c r="A25" s="84" t="s">
        <v>105</v>
      </c>
      <c r="B25" s="113">
        <v>32</v>
      </c>
      <c r="C25" s="58">
        <v>155</v>
      </c>
      <c r="D25" s="91">
        <f t="shared" si="0"/>
        <v>187</v>
      </c>
      <c r="E25" s="109">
        <f t="shared" si="1"/>
        <v>17.112299465240643</v>
      </c>
      <c r="F25" s="96">
        <f t="shared" si="2"/>
        <v>0.1069292437186217</v>
      </c>
    </row>
    <row r="26" spans="1:6">
      <c r="A26" s="84" t="s">
        <v>106</v>
      </c>
      <c r="B26" s="113">
        <v>163</v>
      </c>
      <c r="C26" s="58">
        <v>739</v>
      </c>
      <c r="D26" s="91">
        <f t="shared" si="0"/>
        <v>902</v>
      </c>
      <c r="E26" s="109">
        <f t="shared" si="1"/>
        <v>18.070953436807095</v>
      </c>
      <c r="F26" s="96">
        <f t="shared" si="2"/>
        <v>0.51577635205452821</v>
      </c>
    </row>
    <row r="27" spans="1:6">
      <c r="A27" s="84" t="s">
        <v>107</v>
      </c>
      <c r="B27" s="113">
        <v>1237</v>
      </c>
      <c r="C27" s="58">
        <v>456</v>
      </c>
      <c r="D27" s="91">
        <f t="shared" si="0"/>
        <v>1693</v>
      </c>
      <c r="E27" s="109">
        <f t="shared" si="1"/>
        <v>73.065564087418778</v>
      </c>
      <c r="F27" s="96">
        <f t="shared" si="2"/>
        <v>0.96808133484292269</v>
      </c>
    </row>
    <row r="28" spans="1:6">
      <c r="A28" s="84" t="s">
        <v>108</v>
      </c>
      <c r="B28" s="113">
        <v>465</v>
      </c>
      <c r="C28" s="58">
        <v>373</v>
      </c>
      <c r="D28" s="91">
        <f t="shared" si="0"/>
        <v>838</v>
      </c>
      <c r="E28" s="109">
        <f t="shared" si="1"/>
        <v>55.489260143198088</v>
      </c>
      <c r="F28" s="96">
        <f t="shared" si="2"/>
        <v>0.47918024725243308</v>
      </c>
    </row>
    <row r="29" spans="1:6">
      <c r="A29" s="83" t="s">
        <v>109</v>
      </c>
      <c r="B29" s="113">
        <v>321</v>
      </c>
      <c r="C29" s="58">
        <v>1285</v>
      </c>
      <c r="D29" s="91">
        <f t="shared" si="0"/>
        <v>1606</v>
      </c>
      <c r="E29" s="109">
        <f t="shared" si="1"/>
        <v>19.987546699875466</v>
      </c>
      <c r="F29" s="96">
        <f t="shared" si="2"/>
        <v>0.91833350487757459</v>
      </c>
    </row>
    <row r="30" spans="1:6">
      <c r="A30" s="84" t="s">
        <v>110</v>
      </c>
      <c r="B30" s="113">
        <v>353</v>
      </c>
      <c r="C30" s="58">
        <v>769</v>
      </c>
      <c r="D30" s="91">
        <f t="shared" si="0"/>
        <v>1122</v>
      </c>
      <c r="E30" s="109">
        <f t="shared" si="1"/>
        <v>31.461675579322637</v>
      </c>
      <c r="F30" s="96">
        <f t="shared" si="2"/>
        <v>0.64157546231173024</v>
      </c>
    </row>
    <row r="31" spans="1:6">
      <c r="A31" s="83" t="s">
        <v>111</v>
      </c>
      <c r="B31" s="113">
        <v>63</v>
      </c>
      <c r="C31" s="58">
        <v>246</v>
      </c>
      <c r="D31" s="91">
        <f t="shared" si="0"/>
        <v>309</v>
      </c>
      <c r="E31" s="109">
        <f t="shared" si="1"/>
        <v>20.388349514563107</v>
      </c>
      <c r="F31" s="96">
        <f t="shared" si="2"/>
        <v>0.17669056849761552</v>
      </c>
    </row>
    <row r="32" spans="1:6">
      <c r="A32" s="84" t="s">
        <v>112</v>
      </c>
      <c r="B32" s="113">
        <v>9948</v>
      </c>
      <c r="C32" s="58">
        <v>23459</v>
      </c>
      <c r="D32" s="91">
        <f t="shared" si="0"/>
        <v>33407</v>
      </c>
      <c r="E32" s="109">
        <f t="shared" si="1"/>
        <v>29.778190199658756</v>
      </c>
      <c r="F32" s="96">
        <f t="shared" si="2"/>
        <v>19.102594892556123</v>
      </c>
    </row>
    <row r="33" spans="1:6">
      <c r="A33" s="84" t="s">
        <v>113</v>
      </c>
      <c r="B33" s="113">
        <v>14</v>
      </c>
      <c r="C33" s="58">
        <v>589</v>
      </c>
      <c r="D33" s="91">
        <f t="shared" si="0"/>
        <v>603</v>
      </c>
      <c r="E33" s="109">
        <f t="shared" si="1"/>
        <v>2.3217247097844114</v>
      </c>
      <c r="F33" s="96">
        <f t="shared" si="2"/>
        <v>0.34480392493224005</v>
      </c>
    </row>
    <row r="34" spans="1:6">
      <c r="A34" s="84" t="s">
        <v>114</v>
      </c>
      <c r="B34" s="113">
        <v>1453</v>
      </c>
      <c r="C34" s="58">
        <v>1148</v>
      </c>
      <c r="D34" s="91">
        <f t="shared" si="0"/>
        <v>2601</v>
      </c>
      <c r="E34" s="109">
        <f t="shared" si="1"/>
        <v>55.863129565551709</v>
      </c>
      <c r="F34" s="96">
        <f t="shared" si="2"/>
        <v>1.4872885717226472</v>
      </c>
    </row>
    <row r="35" spans="1:6">
      <c r="A35" s="84" t="s">
        <v>115</v>
      </c>
      <c r="B35" s="113">
        <v>1796</v>
      </c>
      <c r="C35" s="58">
        <v>3153</v>
      </c>
      <c r="D35" s="91">
        <f t="shared" si="0"/>
        <v>4949</v>
      </c>
      <c r="E35" s="109">
        <f t="shared" si="1"/>
        <v>36.290159628207718</v>
      </c>
      <c r="F35" s="96">
        <f t="shared" si="2"/>
        <v>2.8299081666495121</v>
      </c>
    </row>
    <row r="36" spans="1:6">
      <c r="A36" s="84" t="s">
        <v>116</v>
      </c>
      <c r="B36" s="113">
        <v>189</v>
      </c>
      <c r="C36" s="58">
        <v>424</v>
      </c>
      <c r="D36" s="91">
        <f t="shared" si="0"/>
        <v>613</v>
      </c>
      <c r="E36" s="109">
        <f t="shared" si="1"/>
        <v>30.831973898858074</v>
      </c>
      <c r="F36" s="96">
        <f t="shared" si="2"/>
        <v>0.35052206630756738</v>
      </c>
    </row>
    <row r="37" spans="1:6">
      <c r="A37" s="83" t="s">
        <v>117</v>
      </c>
      <c r="B37" s="113">
        <v>192</v>
      </c>
      <c r="C37" s="58">
        <v>2177</v>
      </c>
      <c r="D37" s="91">
        <f t="shared" si="0"/>
        <v>2369</v>
      </c>
      <c r="E37" s="109">
        <f t="shared" si="1"/>
        <v>8.1046855213170108</v>
      </c>
      <c r="F37" s="96">
        <f t="shared" si="2"/>
        <v>1.3546276918150524</v>
      </c>
    </row>
    <row r="38" spans="1:6">
      <c r="A38" s="83" t="s">
        <v>118</v>
      </c>
      <c r="B38" s="113">
        <v>54</v>
      </c>
      <c r="C38" s="58">
        <v>950</v>
      </c>
      <c r="D38" s="91">
        <f t="shared" si="0"/>
        <v>1004</v>
      </c>
      <c r="E38" s="109">
        <f t="shared" si="1"/>
        <v>5.3784860557768921</v>
      </c>
      <c r="F38" s="96">
        <f t="shared" si="2"/>
        <v>0.57410139408286731</v>
      </c>
    </row>
    <row r="39" spans="1:6">
      <c r="A39" s="84" t="s">
        <v>119</v>
      </c>
      <c r="B39" s="113">
        <v>27</v>
      </c>
      <c r="C39" s="58">
        <v>120</v>
      </c>
      <c r="D39" s="91">
        <f t="shared" si="0"/>
        <v>147</v>
      </c>
      <c r="E39" s="109">
        <f t="shared" si="1"/>
        <v>18.367346938775512</v>
      </c>
      <c r="F39" s="96">
        <f t="shared" si="2"/>
        <v>8.4056678217312247E-2</v>
      </c>
    </row>
    <row r="40" spans="1:6">
      <c r="A40" s="84" t="s">
        <v>120</v>
      </c>
      <c r="B40" s="113">
        <v>203</v>
      </c>
      <c r="C40" s="58">
        <v>741</v>
      </c>
      <c r="D40" s="91">
        <f t="shared" si="0"/>
        <v>944</v>
      </c>
      <c r="E40" s="109">
        <f t="shared" si="1"/>
        <v>21.504237288135592</v>
      </c>
      <c r="F40" s="96">
        <f t="shared" si="2"/>
        <v>0.53979254583090308</v>
      </c>
    </row>
    <row r="41" spans="1:6">
      <c r="A41" s="84" t="s">
        <v>121</v>
      </c>
      <c r="B41" s="113">
        <v>753</v>
      </c>
      <c r="C41" s="58">
        <v>1942</v>
      </c>
      <c r="D41" s="91">
        <f t="shared" si="0"/>
        <v>2695</v>
      </c>
      <c r="E41" s="109">
        <f t="shared" si="1"/>
        <v>27.940630797773654</v>
      </c>
      <c r="F41" s="96">
        <f t="shared" si="2"/>
        <v>1.5410391006507245</v>
      </c>
    </row>
    <row r="42" spans="1:6">
      <c r="A42" s="84" t="s">
        <v>122</v>
      </c>
      <c r="B42" s="113">
        <v>290</v>
      </c>
      <c r="C42" s="58">
        <v>1513</v>
      </c>
      <c r="D42" s="91">
        <f t="shared" si="0"/>
        <v>1803</v>
      </c>
      <c r="E42" s="109">
        <f t="shared" si="1"/>
        <v>16.084303937881309</v>
      </c>
      <c r="F42" s="96">
        <f t="shared" si="2"/>
        <v>1.0309808899715236</v>
      </c>
    </row>
    <row r="43" spans="1:6">
      <c r="A43" s="84" t="s">
        <v>123</v>
      </c>
      <c r="B43" s="113">
        <v>30</v>
      </c>
      <c r="C43" s="58">
        <v>263</v>
      </c>
      <c r="D43" s="91">
        <f t="shared" si="0"/>
        <v>293</v>
      </c>
      <c r="E43" s="109">
        <f t="shared" si="1"/>
        <v>10.238907849829351</v>
      </c>
      <c r="F43" s="96">
        <f t="shared" si="2"/>
        <v>0.16754154229709176</v>
      </c>
    </row>
    <row r="44" spans="1:6">
      <c r="A44" s="84" t="s">
        <v>124</v>
      </c>
      <c r="B44" s="113">
        <v>565</v>
      </c>
      <c r="C44" s="58">
        <v>2659</v>
      </c>
      <c r="D44" s="91">
        <f t="shared" si="0"/>
        <v>3224</v>
      </c>
      <c r="E44" s="109">
        <f t="shared" si="1"/>
        <v>17.524813895781637</v>
      </c>
      <c r="F44" s="96">
        <f t="shared" si="2"/>
        <v>1.8435287794055419</v>
      </c>
    </row>
    <row r="45" spans="1:6">
      <c r="A45" s="84" t="s">
        <v>125</v>
      </c>
      <c r="B45" s="113">
        <v>159</v>
      </c>
      <c r="C45" s="58">
        <v>324</v>
      </c>
      <c r="D45" s="91">
        <f t="shared" si="0"/>
        <v>483</v>
      </c>
      <c r="E45" s="109">
        <f t="shared" si="1"/>
        <v>32.919254658385093</v>
      </c>
      <c r="F45" s="96">
        <f t="shared" si="2"/>
        <v>0.27618622842831164</v>
      </c>
    </row>
    <row r="46" spans="1:6">
      <c r="A46" s="84" t="s">
        <v>126</v>
      </c>
      <c r="B46" s="113">
        <v>349</v>
      </c>
      <c r="C46" s="58">
        <v>970</v>
      </c>
      <c r="D46" s="91">
        <f t="shared" si="0"/>
        <v>1319</v>
      </c>
      <c r="E46" s="109">
        <f t="shared" si="1"/>
        <v>26.459438968915844</v>
      </c>
      <c r="F46" s="96">
        <f t="shared" si="2"/>
        <v>0.75422284740567924</v>
      </c>
    </row>
    <row r="47" spans="1:6">
      <c r="A47" s="83" t="s">
        <v>127</v>
      </c>
      <c r="B47" s="113">
        <v>64</v>
      </c>
      <c r="C47" s="58">
        <v>479</v>
      </c>
      <c r="D47" s="91">
        <f t="shared" si="0"/>
        <v>543</v>
      </c>
      <c r="E47" s="109">
        <f t="shared" si="1"/>
        <v>11.786372007366483</v>
      </c>
      <c r="F47" s="96">
        <f t="shared" si="2"/>
        <v>0.31049507668027582</v>
      </c>
    </row>
    <row r="48" spans="1:6">
      <c r="A48" s="83" t="s">
        <v>128</v>
      </c>
      <c r="B48" s="113">
        <v>148</v>
      </c>
      <c r="C48" s="58">
        <v>675</v>
      </c>
      <c r="D48" s="91">
        <f t="shared" si="0"/>
        <v>823</v>
      </c>
      <c r="E48" s="109">
        <f t="shared" si="1"/>
        <v>17.982989064398542</v>
      </c>
      <c r="F48" s="96">
        <f t="shared" si="2"/>
        <v>0.47060303518944202</v>
      </c>
    </row>
    <row r="49" spans="1:6">
      <c r="A49" s="83" t="s">
        <v>129</v>
      </c>
      <c r="B49" s="113">
        <v>233</v>
      </c>
      <c r="C49" s="58">
        <v>2513</v>
      </c>
      <c r="D49" s="91">
        <f t="shared" si="0"/>
        <v>2746</v>
      </c>
      <c r="E49" s="109">
        <f t="shared" si="1"/>
        <v>8.4850691915513465</v>
      </c>
      <c r="F49" s="96">
        <f t="shared" si="2"/>
        <v>1.570201621664894</v>
      </c>
    </row>
    <row r="50" spans="1:6">
      <c r="A50" s="83" t="s">
        <v>130</v>
      </c>
      <c r="B50" s="113">
        <v>282</v>
      </c>
      <c r="C50" s="58">
        <v>1775</v>
      </c>
      <c r="D50" s="91">
        <f t="shared" si="0"/>
        <v>2057</v>
      </c>
      <c r="E50" s="109">
        <f t="shared" si="1"/>
        <v>13.709285367039378</v>
      </c>
      <c r="F50" s="96">
        <f t="shared" si="2"/>
        <v>1.1762216809048387</v>
      </c>
    </row>
    <row r="51" spans="1:6">
      <c r="A51" s="84" t="s">
        <v>131</v>
      </c>
      <c r="B51" s="113">
        <v>333</v>
      </c>
      <c r="C51" s="58">
        <v>1142</v>
      </c>
      <c r="D51" s="91">
        <f t="shared" si="0"/>
        <v>1475</v>
      </c>
      <c r="E51" s="109">
        <f t="shared" si="1"/>
        <v>22.576271186440678</v>
      </c>
      <c r="F51" s="96">
        <f t="shared" si="2"/>
        <v>0.84342585286078608</v>
      </c>
    </row>
    <row r="52" spans="1:6">
      <c r="A52" s="84" t="s">
        <v>132</v>
      </c>
      <c r="B52" s="113">
        <v>782</v>
      </c>
      <c r="C52" s="58">
        <v>315</v>
      </c>
      <c r="D52" s="91">
        <f t="shared" si="0"/>
        <v>1097</v>
      </c>
      <c r="E52" s="109">
        <f t="shared" si="1"/>
        <v>71.285323609845037</v>
      </c>
      <c r="F52" s="96">
        <f t="shared" si="2"/>
        <v>0.62728010887341179</v>
      </c>
    </row>
    <row r="53" spans="1:6">
      <c r="A53" s="52"/>
      <c r="B53" s="108">
        <f>SUM(B6:B52)</f>
        <v>41782</v>
      </c>
      <c r="C53" s="108">
        <f>SUM(C6:C52)</f>
        <v>133100</v>
      </c>
      <c r="D53" s="108">
        <f>SUM(D6:D52)</f>
        <v>174882</v>
      </c>
      <c r="E53" s="112">
        <f t="shared" si="1"/>
        <v>23.891538294392792</v>
      </c>
      <c r="F53" s="97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9" workbookViewId="0">
      <selection activeCell="B27" sqref="B27"/>
    </sheetView>
  </sheetViews>
  <sheetFormatPr defaultRowHeight="12.75"/>
  <cols>
    <col min="1" max="1" width="23.7109375" bestFit="1" customWidth="1"/>
    <col min="2" max="4" width="9.140625" style="70"/>
    <col min="5" max="5" width="10.140625" style="70" customWidth="1"/>
    <col min="6" max="6" width="11" style="70" customWidth="1"/>
    <col min="7" max="7" width="23.71093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149</v>
      </c>
      <c r="B2" s="155"/>
      <c r="C2" s="155"/>
      <c r="D2" s="155"/>
      <c r="E2" s="155"/>
      <c r="F2" s="155"/>
    </row>
    <row r="3" spans="1:6" ht="15">
      <c r="A3" s="156" t="s">
        <v>148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16.5" customHeight="1">
      <c r="A5" s="45" t="s">
        <v>80</v>
      </c>
      <c r="B5" s="93" t="s">
        <v>81</v>
      </c>
      <c r="C5" s="93" t="s">
        <v>82</v>
      </c>
      <c r="D5" s="93" t="s">
        <v>83</v>
      </c>
      <c r="E5" s="110" t="s">
        <v>134</v>
      </c>
      <c r="F5" s="95" t="s">
        <v>85</v>
      </c>
    </row>
    <row r="6" spans="1:6">
      <c r="A6" s="83" t="s">
        <v>86</v>
      </c>
      <c r="B6" s="113">
        <v>390</v>
      </c>
      <c r="C6" s="91">
        <v>1738</v>
      </c>
      <c r="D6" s="91">
        <v>2128</v>
      </c>
      <c r="E6" s="109">
        <f>(B6*100)/D6</f>
        <v>18.327067669172934</v>
      </c>
      <c r="F6" s="96">
        <f>(D6*100)/$D$53</f>
        <v>1.261792243061032</v>
      </c>
    </row>
    <row r="7" spans="1:6">
      <c r="A7" s="84" t="s">
        <v>87</v>
      </c>
      <c r="B7" s="113">
        <v>215</v>
      </c>
      <c r="C7" s="91">
        <v>960</v>
      </c>
      <c r="D7" s="91">
        <v>1175</v>
      </c>
      <c r="E7" s="109">
        <f t="shared" ref="E7:E52" si="0">(B7*100)/D7</f>
        <v>18.297872340425531</v>
      </c>
      <c r="F7" s="96">
        <f t="shared" ref="F7:F52" si="1">(D7*100)/$D$53</f>
        <v>0.69671329210371835</v>
      </c>
    </row>
    <row r="8" spans="1:6">
      <c r="A8" s="84" t="s">
        <v>88</v>
      </c>
      <c r="B8" s="113">
        <v>1200</v>
      </c>
      <c r="C8" s="91">
        <v>1673</v>
      </c>
      <c r="D8" s="91">
        <v>2873</v>
      </c>
      <c r="E8" s="109">
        <f t="shared" si="0"/>
        <v>41.768186564566655</v>
      </c>
      <c r="F8" s="96">
        <f t="shared" si="1"/>
        <v>1.7035381176289217</v>
      </c>
    </row>
    <row r="9" spans="1:6">
      <c r="A9" s="84" t="s">
        <v>89</v>
      </c>
      <c r="B9" s="113">
        <v>76</v>
      </c>
      <c r="C9" s="91">
        <v>939</v>
      </c>
      <c r="D9" s="91">
        <v>1015</v>
      </c>
      <c r="E9" s="109">
        <f t="shared" si="0"/>
        <v>7.4876847290640391</v>
      </c>
      <c r="F9" s="96">
        <f t="shared" si="1"/>
        <v>0.60184169488108441</v>
      </c>
    </row>
    <row r="10" spans="1:6">
      <c r="A10" s="84" t="s">
        <v>90</v>
      </c>
      <c r="B10" s="113">
        <v>175</v>
      </c>
      <c r="C10" s="91">
        <v>105</v>
      </c>
      <c r="D10" s="91">
        <v>280</v>
      </c>
      <c r="E10" s="109">
        <f t="shared" si="0"/>
        <v>62.5</v>
      </c>
      <c r="F10" s="96">
        <f t="shared" si="1"/>
        <v>0.16602529513960948</v>
      </c>
    </row>
    <row r="11" spans="1:6">
      <c r="A11" s="84" t="s">
        <v>91</v>
      </c>
      <c r="B11" s="113">
        <v>3748</v>
      </c>
      <c r="C11" s="91">
        <v>4453</v>
      </c>
      <c r="D11" s="91">
        <v>8201</v>
      </c>
      <c r="E11" s="109">
        <f t="shared" si="0"/>
        <v>45.701743689793929</v>
      </c>
      <c r="F11" s="96">
        <f t="shared" si="1"/>
        <v>4.8627623051426339</v>
      </c>
    </row>
    <row r="12" spans="1:6">
      <c r="A12" s="84" t="s">
        <v>92</v>
      </c>
      <c r="B12" s="113">
        <v>1761</v>
      </c>
      <c r="C12" s="91">
        <v>2670</v>
      </c>
      <c r="D12" s="91">
        <v>4431</v>
      </c>
      <c r="E12" s="109">
        <f t="shared" si="0"/>
        <v>39.742721733243059</v>
      </c>
      <c r="F12" s="96">
        <f t="shared" si="1"/>
        <v>2.62735029558432</v>
      </c>
    </row>
    <row r="13" spans="1:6">
      <c r="A13" s="83" t="s">
        <v>93</v>
      </c>
      <c r="B13" s="113">
        <v>35</v>
      </c>
      <c r="C13" s="91">
        <v>127</v>
      </c>
      <c r="D13" s="91">
        <v>162</v>
      </c>
      <c r="E13" s="109">
        <f t="shared" si="0"/>
        <v>21.604938271604937</v>
      </c>
      <c r="F13" s="96">
        <f t="shared" si="1"/>
        <v>9.6057492187916912E-2</v>
      </c>
    </row>
    <row r="14" spans="1:6">
      <c r="A14" s="84" t="s">
        <v>94</v>
      </c>
      <c r="B14" s="113">
        <v>365</v>
      </c>
      <c r="C14" s="91">
        <v>1692</v>
      </c>
      <c r="D14" s="91">
        <v>2057</v>
      </c>
      <c r="E14" s="109">
        <f t="shared" si="0"/>
        <v>17.744287797763732</v>
      </c>
      <c r="F14" s="96">
        <f t="shared" si="1"/>
        <v>1.2196929717934883</v>
      </c>
    </row>
    <row r="15" spans="1:6">
      <c r="A15" s="84" t="s">
        <v>95</v>
      </c>
      <c r="B15" s="113">
        <v>248</v>
      </c>
      <c r="C15" s="91">
        <v>936</v>
      </c>
      <c r="D15" s="91">
        <v>1184</v>
      </c>
      <c r="E15" s="109">
        <f t="shared" si="0"/>
        <v>20.945945945945947</v>
      </c>
      <c r="F15" s="96">
        <f t="shared" si="1"/>
        <v>0.70204981944749156</v>
      </c>
    </row>
    <row r="16" spans="1:6">
      <c r="A16" s="84" t="s">
        <v>96</v>
      </c>
      <c r="B16" s="113">
        <v>117</v>
      </c>
      <c r="C16" s="91">
        <v>16171</v>
      </c>
      <c r="D16" s="91">
        <v>16288</v>
      </c>
      <c r="E16" s="109">
        <f t="shared" si="0"/>
        <v>0.71832023575638504</v>
      </c>
      <c r="F16" s="96">
        <f t="shared" si="1"/>
        <v>9.6579285972641404</v>
      </c>
    </row>
    <row r="17" spans="1:6">
      <c r="A17" s="84" t="s">
        <v>97</v>
      </c>
      <c r="B17" s="113">
        <v>402</v>
      </c>
      <c r="C17" s="91">
        <v>7412</v>
      </c>
      <c r="D17" s="91">
        <v>7814</v>
      </c>
      <c r="E17" s="109">
        <f t="shared" si="0"/>
        <v>5.1446122344509853</v>
      </c>
      <c r="F17" s="96">
        <f t="shared" si="1"/>
        <v>4.6332916293603876</v>
      </c>
    </row>
    <row r="18" spans="1:6">
      <c r="A18" s="83" t="s">
        <v>98</v>
      </c>
      <c r="B18" s="113">
        <v>21</v>
      </c>
      <c r="C18" s="91">
        <v>524</v>
      </c>
      <c r="D18" s="91">
        <v>545</v>
      </c>
      <c r="E18" s="109">
        <f t="shared" si="0"/>
        <v>3.8532110091743119</v>
      </c>
      <c r="F18" s="96">
        <f t="shared" si="1"/>
        <v>0.32315637803959701</v>
      </c>
    </row>
    <row r="19" spans="1:6">
      <c r="A19" s="83" t="s">
        <v>99</v>
      </c>
      <c r="B19" s="113">
        <v>1017</v>
      </c>
      <c r="C19" s="91">
        <v>1649</v>
      </c>
      <c r="D19" s="91">
        <v>2666</v>
      </c>
      <c r="E19" s="109">
        <f t="shared" si="0"/>
        <v>38.147036759189795</v>
      </c>
      <c r="F19" s="96">
        <f t="shared" si="1"/>
        <v>1.5807979887221388</v>
      </c>
    </row>
    <row r="20" spans="1:6">
      <c r="A20" s="83" t="s">
        <v>100</v>
      </c>
      <c r="B20" s="113">
        <v>93</v>
      </c>
      <c r="C20" s="91">
        <v>412</v>
      </c>
      <c r="D20" s="91">
        <v>505</v>
      </c>
      <c r="E20" s="109">
        <f t="shared" si="0"/>
        <v>18.415841584158414</v>
      </c>
      <c r="F20" s="96">
        <f t="shared" si="1"/>
        <v>0.29943847873393853</v>
      </c>
    </row>
    <row r="21" spans="1:6">
      <c r="A21" s="84" t="s">
        <v>101</v>
      </c>
      <c r="B21" s="113">
        <v>62</v>
      </c>
      <c r="C21" s="91">
        <v>141</v>
      </c>
      <c r="D21" s="91">
        <v>203</v>
      </c>
      <c r="E21" s="109">
        <f t="shared" si="0"/>
        <v>30.541871921182267</v>
      </c>
      <c r="F21" s="96">
        <f t="shared" si="1"/>
        <v>0.12036833897621688</v>
      </c>
    </row>
    <row r="22" spans="1:6">
      <c r="A22" s="84" t="s">
        <v>102</v>
      </c>
      <c r="B22" s="113">
        <v>3356</v>
      </c>
      <c r="C22" s="91">
        <v>24222</v>
      </c>
      <c r="D22" s="91">
        <v>27578</v>
      </c>
      <c r="E22" s="109">
        <f t="shared" si="0"/>
        <v>12.169120313293204</v>
      </c>
      <c r="F22" s="96">
        <f t="shared" si="1"/>
        <v>16.352305676286253</v>
      </c>
    </row>
    <row r="23" spans="1:6">
      <c r="A23" s="84" t="s">
        <v>103</v>
      </c>
      <c r="B23" s="113">
        <v>1234</v>
      </c>
      <c r="C23" s="91">
        <v>89</v>
      </c>
      <c r="D23" s="91">
        <v>1323</v>
      </c>
      <c r="E23" s="109">
        <f t="shared" si="0"/>
        <v>93.272864701436134</v>
      </c>
      <c r="F23" s="96">
        <f t="shared" si="1"/>
        <v>0.78446951953465482</v>
      </c>
    </row>
    <row r="24" spans="1:6">
      <c r="A24" s="84" t="s">
        <v>104</v>
      </c>
      <c r="B24" s="113">
        <v>5783</v>
      </c>
      <c r="C24" s="91">
        <v>11613</v>
      </c>
      <c r="D24" s="91">
        <v>17396</v>
      </c>
      <c r="E24" s="109">
        <f t="shared" si="0"/>
        <v>33.243274315934698</v>
      </c>
      <c r="F24" s="96">
        <f t="shared" si="1"/>
        <v>10.31491440803088</v>
      </c>
    </row>
    <row r="25" spans="1:6">
      <c r="A25" s="84" t="s">
        <v>105</v>
      </c>
      <c r="B25" s="113">
        <v>27</v>
      </c>
      <c r="C25" s="91">
        <v>149</v>
      </c>
      <c r="D25" s="91">
        <v>176</v>
      </c>
      <c r="E25" s="109">
        <f t="shared" si="0"/>
        <v>15.340909090909092</v>
      </c>
      <c r="F25" s="96">
        <f t="shared" si="1"/>
        <v>0.10435875694489739</v>
      </c>
    </row>
    <row r="26" spans="1:6">
      <c r="A26" s="84" t="s">
        <v>106</v>
      </c>
      <c r="B26" s="113">
        <v>444</v>
      </c>
      <c r="C26" s="91">
        <v>1237</v>
      </c>
      <c r="D26" s="91">
        <v>1681</v>
      </c>
      <c r="E26" s="109">
        <f t="shared" si="0"/>
        <v>26.412849494348603</v>
      </c>
      <c r="F26" s="96">
        <f t="shared" si="1"/>
        <v>0.99674471832029832</v>
      </c>
    </row>
    <row r="27" spans="1:6">
      <c r="A27" s="84" t="s">
        <v>107</v>
      </c>
      <c r="B27" s="113">
        <v>232</v>
      </c>
      <c r="C27" s="91">
        <v>362</v>
      </c>
      <c r="D27" s="91">
        <v>594</v>
      </c>
      <c r="E27" s="109">
        <f t="shared" si="0"/>
        <v>39.057239057239059</v>
      </c>
      <c r="F27" s="96">
        <f t="shared" si="1"/>
        <v>0.35221080468902871</v>
      </c>
    </row>
    <row r="28" spans="1:6">
      <c r="A28" s="84" t="s">
        <v>108</v>
      </c>
      <c r="B28" s="113">
        <v>325</v>
      </c>
      <c r="C28" s="91">
        <v>1245</v>
      </c>
      <c r="D28" s="91">
        <v>1570</v>
      </c>
      <c r="E28" s="109">
        <f t="shared" si="0"/>
        <v>20.70063694267516</v>
      </c>
      <c r="F28" s="96">
        <f t="shared" si="1"/>
        <v>0.93092754774709607</v>
      </c>
    </row>
    <row r="29" spans="1:6">
      <c r="A29" s="83" t="s">
        <v>109</v>
      </c>
      <c r="B29" s="113">
        <v>98</v>
      </c>
      <c r="C29" s="91">
        <v>541</v>
      </c>
      <c r="D29" s="91">
        <v>639</v>
      </c>
      <c r="E29" s="109">
        <f t="shared" si="0"/>
        <v>15.336463223787167</v>
      </c>
      <c r="F29" s="96">
        <f t="shared" si="1"/>
        <v>0.37889344140789449</v>
      </c>
    </row>
    <row r="30" spans="1:6">
      <c r="A30" s="84" t="s">
        <v>110</v>
      </c>
      <c r="B30" s="113">
        <v>375</v>
      </c>
      <c r="C30" s="91">
        <v>716</v>
      </c>
      <c r="D30" s="91">
        <v>1091</v>
      </c>
      <c r="E30" s="109">
        <f t="shared" si="0"/>
        <v>34.372135655362051</v>
      </c>
      <c r="F30" s="96">
        <f t="shared" si="1"/>
        <v>0.64690570356183552</v>
      </c>
    </row>
    <row r="31" spans="1:6">
      <c r="A31" s="83" t="s">
        <v>111</v>
      </c>
      <c r="B31" s="113">
        <v>56</v>
      </c>
      <c r="C31" s="91">
        <v>196</v>
      </c>
      <c r="D31" s="91">
        <v>252</v>
      </c>
      <c r="E31" s="109">
        <f t="shared" si="0"/>
        <v>22.222222222222221</v>
      </c>
      <c r="F31" s="96">
        <f t="shared" si="1"/>
        <v>0.14942276562564855</v>
      </c>
    </row>
    <row r="32" spans="1:6">
      <c r="A32" s="84" t="s">
        <v>112</v>
      </c>
      <c r="B32" s="113">
        <v>10205</v>
      </c>
      <c r="C32" s="91">
        <v>23543</v>
      </c>
      <c r="D32" s="91">
        <v>33748</v>
      </c>
      <c r="E32" s="109">
        <f t="shared" si="0"/>
        <v>30.238828967642526</v>
      </c>
      <c r="F32" s="96">
        <f t="shared" si="1"/>
        <v>20.010791644184074</v>
      </c>
    </row>
    <row r="33" spans="1:6">
      <c r="A33" s="84" t="s">
        <v>113</v>
      </c>
      <c r="B33" s="113">
        <v>5</v>
      </c>
      <c r="C33" s="91">
        <v>256</v>
      </c>
      <c r="D33" s="91">
        <v>261</v>
      </c>
      <c r="E33" s="109">
        <f t="shared" si="0"/>
        <v>1.9157088122605364</v>
      </c>
      <c r="F33" s="96">
        <f t="shared" si="1"/>
        <v>0.1547592929694217</v>
      </c>
    </row>
    <row r="34" spans="1:6">
      <c r="A34" s="84" t="s">
        <v>114</v>
      </c>
      <c r="B34" s="113">
        <v>1341</v>
      </c>
      <c r="C34" s="91">
        <v>1671</v>
      </c>
      <c r="D34" s="91">
        <v>3012</v>
      </c>
      <c r="E34" s="109">
        <f t="shared" si="0"/>
        <v>44.52191235059761</v>
      </c>
      <c r="F34" s="96">
        <f t="shared" si="1"/>
        <v>1.7859578177160849</v>
      </c>
    </row>
    <row r="35" spans="1:6">
      <c r="A35" s="84" t="s">
        <v>115</v>
      </c>
      <c r="B35" s="113">
        <v>1634</v>
      </c>
      <c r="C35" s="91">
        <v>3002</v>
      </c>
      <c r="D35" s="91">
        <v>4636</v>
      </c>
      <c r="E35" s="109">
        <f t="shared" si="0"/>
        <v>35.245901639344261</v>
      </c>
      <c r="F35" s="96">
        <f t="shared" si="1"/>
        <v>2.7489045295258201</v>
      </c>
    </row>
    <row r="36" spans="1:6">
      <c r="A36" s="84" t="s">
        <v>116</v>
      </c>
      <c r="B36" s="113">
        <v>208</v>
      </c>
      <c r="C36" s="91">
        <v>417</v>
      </c>
      <c r="D36" s="91">
        <v>625</v>
      </c>
      <c r="E36" s="109">
        <f t="shared" si="0"/>
        <v>33.28</v>
      </c>
      <c r="F36" s="96">
        <f t="shared" si="1"/>
        <v>0.37059217665091404</v>
      </c>
    </row>
    <row r="37" spans="1:6">
      <c r="A37" s="83" t="s">
        <v>117</v>
      </c>
      <c r="B37" s="113">
        <v>263</v>
      </c>
      <c r="C37" s="91">
        <v>2196</v>
      </c>
      <c r="D37" s="91">
        <v>2459</v>
      </c>
      <c r="E37" s="109">
        <f t="shared" si="0"/>
        <v>10.695404636030906</v>
      </c>
      <c r="F37" s="96">
        <f t="shared" si="1"/>
        <v>1.4580578598153562</v>
      </c>
    </row>
    <row r="38" spans="1:6">
      <c r="A38" s="83" t="s">
        <v>118</v>
      </c>
      <c r="B38" s="113">
        <v>55</v>
      </c>
      <c r="C38" s="91">
        <v>1033</v>
      </c>
      <c r="D38" s="91">
        <v>1088</v>
      </c>
      <c r="E38" s="109">
        <f t="shared" si="0"/>
        <v>5.055147058823529</v>
      </c>
      <c r="F38" s="96">
        <f t="shared" si="1"/>
        <v>0.64512686111391115</v>
      </c>
    </row>
    <row r="39" spans="1:6">
      <c r="A39" s="84" t="s">
        <v>119</v>
      </c>
      <c r="B39" s="113">
        <v>35</v>
      </c>
      <c r="C39" s="91">
        <v>128</v>
      </c>
      <c r="D39" s="91">
        <v>163</v>
      </c>
      <c r="E39" s="109">
        <f t="shared" si="0"/>
        <v>21.472392638036808</v>
      </c>
      <c r="F39" s="96">
        <f t="shared" si="1"/>
        <v>9.6650439670558377E-2</v>
      </c>
    </row>
    <row r="40" spans="1:6">
      <c r="A40" s="84" t="s">
        <v>120</v>
      </c>
      <c r="B40" s="113">
        <v>251</v>
      </c>
      <c r="C40" s="91">
        <v>834</v>
      </c>
      <c r="D40" s="91">
        <v>1085</v>
      </c>
      <c r="E40" s="109">
        <f t="shared" si="0"/>
        <v>23.133640552995391</v>
      </c>
      <c r="F40" s="96">
        <f t="shared" si="1"/>
        <v>0.64334801866598679</v>
      </c>
    </row>
    <row r="41" spans="1:6">
      <c r="A41" s="84" t="s">
        <v>121</v>
      </c>
      <c r="B41" s="113">
        <v>843</v>
      </c>
      <c r="C41" s="91">
        <v>2008</v>
      </c>
      <c r="D41" s="91">
        <v>2851</v>
      </c>
      <c r="E41" s="109">
        <f t="shared" si="0"/>
        <v>29.568572430726061</v>
      </c>
      <c r="F41" s="96">
        <f t="shared" si="1"/>
        <v>1.6904932730108095</v>
      </c>
    </row>
    <row r="42" spans="1:6">
      <c r="A42" s="84" t="s">
        <v>122</v>
      </c>
      <c r="B42" s="113">
        <v>302</v>
      </c>
      <c r="C42" s="91">
        <v>1121</v>
      </c>
      <c r="D42" s="91">
        <v>1423</v>
      </c>
      <c r="E42" s="109">
        <f t="shared" si="0"/>
        <v>21.222768798313421</v>
      </c>
      <c r="F42" s="96">
        <f t="shared" si="1"/>
        <v>0.84376426779880109</v>
      </c>
    </row>
    <row r="43" spans="1:6">
      <c r="A43" s="84" t="s">
        <v>123</v>
      </c>
      <c r="B43" s="113">
        <v>28</v>
      </c>
      <c r="C43" s="91">
        <v>212</v>
      </c>
      <c r="D43" s="91">
        <v>240</v>
      </c>
      <c r="E43" s="109">
        <f t="shared" si="0"/>
        <v>11.666666666666666</v>
      </c>
      <c r="F43" s="96">
        <f t="shared" si="1"/>
        <v>0.14230739583395099</v>
      </c>
    </row>
    <row r="44" spans="1:6">
      <c r="A44" s="84" t="s">
        <v>124</v>
      </c>
      <c r="B44" s="113">
        <v>664</v>
      </c>
      <c r="C44" s="91">
        <v>3017</v>
      </c>
      <c r="D44" s="91">
        <v>3681</v>
      </c>
      <c r="E44" s="109">
        <f t="shared" si="0"/>
        <v>18.038576473784296</v>
      </c>
      <c r="F44" s="96">
        <f t="shared" si="1"/>
        <v>2.1826396836032234</v>
      </c>
    </row>
    <row r="45" spans="1:6">
      <c r="A45" s="84" t="s">
        <v>125</v>
      </c>
      <c r="B45" s="113">
        <v>153</v>
      </c>
      <c r="C45" s="91">
        <v>312</v>
      </c>
      <c r="D45" s="91">
        <v>465</v>
      </c>
      <c r="E45" s="109">
        <f t="shared" si="0"/>
        <v>32.903225806451616</v>
      </c>
      <c r="F45" s="96">
        <f t="shared" si="1"/>
        <v>0.27572057942828004</v>
      </c>
    </row>
    <row r="46" spans="1:6">
      <c r="A46" s="84" t="s">
        <v>126</v>
      </c>
      <c r="B46" s="113">
        <v>204</v>
      </c>
      <c r="C46" s="91">
        <v>635</v>
      </c>
      <c r="D46" s="91">
        <v>839</v>
      </c>
      <c r="E46" s="109">
        <f t="shared" si="0"/>
        <v>24.31466030989273</v>
      </c>
      <c r="F46" s="96">
        <f t="shared" si="1"/>
        <v>0.49748293793618698</v>
      </c>
    </row>
    <row r="47" spans="1:6">
      <c r="A47" s="83" t="s">
        <v>127</v>
      </c>
      <c r="B47" s="113">
        <v>39</v>
      </c>
      <c r="C47" s="91">
        <v>310</v>
      </c>
      <c r="D47" s="91">
        <v>349</v>
      </c>
      <c r="E47" s="109">
        <f t="shared" si="0"/>
        <v>11.174785100286533</v>
      </c>
      <c r="F47" s="96">
        <f t="shared" si="1"/>
        <v>0.20693867144187039</v>
      </c>
    </row>
    <row r="48" spans="1:6">
      <c r="A48" s="83" t="s">
        <v>128</v>
      </c>
      <c r="B48" s="113">
        <v>154</v>
      </c>
      <c r="C48" s="91">
        <v>664</v>
      </c>
      <c r="D48" s="91">
        <v>815</v>
      </c>
      <c r="E48" s="109">
        <f t="shared" si="0"/>
        <v>18.895705521472394</v>
      </c>
      <c r="F48" s="96">
        <f t="shared" si="1"/>
        <v>0.48325219835279187</v>
      </c>
    </row>
    <row r="49" spans="1:6">
      <c r="A49" s="83" t="s">
        <v>129</v>
      </c>
      <c r="B49" s="113">
        <v>233</v>
      </c>
      <c r="C49" s="91">
        <v>2425</v>
      </c>
      <c r="D49" s="91">
        <v>2658</v>
      </c>
      <c r="E49" s="109">
        <f t="shared" si="0"/>
        <v>8.7659894657637327</v>
      </c>
      <c r="F49" s="96">
        <f t="shared" si="1"/>
        <v>1.5760544088610071</v>
      </c>
    </row>
    <row r="50" spans="1:6">
      <c r="A50" s="83" t="s">
        <v>130</v>
      </c>
      <c r="B50" s="113">
        <v>243</v>
      </c>
      <c r="C50" s="91">
        <v>1386</v>
      </c>
      <c r="D50" s="91">
        <v>1629</v>
      </c>
      <c r="E50" s="109">
        <f t="shared" si="0"/>
        <v>14.917127071823204</v>
      </c>
      <c r="F50" s="96">
        <f t="shared" si="1"/>
        <v>0.96591144922294236</v>
      </c>
    </row>
    <row r="51" spans="1:6">
      <c r="A51" s="84" t="s">
        <v>131</v>
      </c>
      <c r="B51" s="113">
        <v>332</v>
      </c>
      <c r="C51" s="91">
        <v>997</v>
      </c>
      <c r="D51" s="91">
        <v>1329</v>
      </c>
      <c r="E51" s="109">
        <f t="shared" si="0"/>
        <v>24.981188863807375</v>
      </c>
      <c r="F51" s="96">
        <f t="shared" si="1"/>
        <v>0.78802720443050356</v>
      </c>
    </row>
    <row r="52" spans="1:6">
      <c r="A52" s="84" t="s">
        <v>132</v>
      </c>
      <c r="B52" s="113">
        <v>784</v>
      </c>
      <c r="C52" s="91">
        <v>682</v>
      </c>
      <c r="D52" s="91">
        <v>1466</v>
      </c>
      <c r="E52" s="109">
        <f t="shared" si="0"/>
        <v>53.478854024556618</v>
      </c>
      <c r="F52" s="96">
        <f t="shared" si="1"/>
        <v>0.86926100955238395</v>
      </c>
    </row>
    <row r="53" spans="1:6">
      <c r="A53" s="52"/>
      <c r="B53" s="108">
        <f>SUM(B6:B52)</f>
        <v>39831</v>
      </c>
      <c r="C53" s="108">
        <f>SUM(C6:C52)</f>
        <v>128821</v>
      </c>
      <c r="D53" s="108">
        <f>SUM(D6:D52)</f>
        <v>168649</v>
      </c>
      <c r="E53" s="111">
        <f>(B53*100)/D53</f>
        <v>23.617691181092091</v>
      </c>
      <c r="F53" s="115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8"/>
  <sheetViews>
    <sheetView topLeftCell="A19" workbookViewId="0">
      <selection activeCell="X4" sqref="X4"/>
    </sheetView>
  </sheetViews>
  <sheetFormatPr defaultRowHeight="12.75"/>
  <cols>
    <col min="1" max="1" width="22" style="1" bestFit="1" customWidth="1"/>
    <col min="2" max="10" width="7.42578125" style="1" customWidth="1"/>
    <col min="11" max="11" width="9" style="1" customWidth="1"/>
    <col min="12" max="12" width="9.28515625" style="1" customWidth="1"/>
    <col min="13" max="17" width="9" style="1" customWidth="1"/>
    <col min="18" max="18" width="9" style="1" bestFit="1" customWidth="1"/>
    <col min="19" max="19" width="9" style="1" customWidth="1"/>
    <col min="20" max="20" width="9.140625" style="1"/>
  </cols>
  <sheetData>
    <row r="2" spans="1:20" ht="15">
      <c r="A2" s="155" t="s">
        <v>150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37"/>
    </row>
    <row r="3" spans="1:20" ht="15">
      <c r="A3" s="156" t="s">
        <v>133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38"/>
      <c r="T3" s="3"/>
    </row>
    <row r="4" spans="1:20" ht="15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6" spans="1:20">
      <c r="A6" s="5" t="s">
        <v>47</v>
      </c>
      <c r="B6" s="6">
        <v>2005</v>
      </c>
      <c r="C6" s="6">
        <v>2006</v>
      </c>
      <c r="D6" s="6">
        <v>2007</v>
      </c>
      <c r="E6" s="6">
        <v>2008</v>
      </c>
      <c r="F6" s="6">
        <v>2009</v>
      </c>
      <c r="G6" s="6">
        <v>2010</v>
      </c>
      <c r="H6" s="6">
        <v>2011</v>
      </c>
      <c r="I6" s="6">
        <v>2012</v>
      </c>
      <c r="J6" s="6">
        <v>2013</v>
      </c>
      <c r="K6" s="6">
        <v>2014</v>
      </c>
      <c r="L6" s="6">
        <v>2015</v>
      </c>
      <c r="M6" s="6">
        <v>2016</v>
      </c>
      <c r="N6" s="6">
        <v>2017</v>
      </c>
      <c r="O6" s="6">
        <v>2018</v>
      </c>
      <c r="P6" s="6">
        <v>2019</v>
      </c>
      <c r="Q6" s="6">
        <v>2020</v>
      </c>
      <c r="R6" s="6">
        <v>2021</v>
      </c>
      <c r="S6" s="6">
        <v>2022</v>
      </c>
    </row>
    <row r="7" spans="1:20">
      <c r="A7" s="40" t="s">
        <v>0</v>
      </c>
      <c r="B7" s="42">
        <v>3006</v>
      </c>
      <c r="C7" s="56">
        <v>3089</v>
      </c>
      <c r="D7" s="42">
        <v>2994</v>
      </c>
      <c r="E7" s="56">
        <v>2662</v>
      </c>
      <c r="F7" s="42">
        <v>2948</v>
      </c>
      <c r="G7" s="56">
        <v>2624</v>
      </c>
      <c r="H7" s="42">
        <v>2736</v>
      </c>
      <c r="I7" s="56">
        <v>2400</v>
      </c>
      <c r="J7" s="42">
        <v>2245</v>
      </c>
      <c r="K7" s="59">
        <v>2358</v>
      </c>
      <c r="L7" s="60">
        <v>2043</v>
      </c>
      <c r="M7" s="59">
        <v>1992</v>
      </c>
      <c r="N7" s="140">
        <v>1992</v>
      </c>
      <c r="O7" s="56">
        <v>2136</v>
      </c>
      <c r="P7" s="42">
        <v>2182</v>
      </c>
      <c r="Q7" s="56">
        <v>2351</v>
      </c>
      <c r="R7" s="42">
        <v>2128</v>
      </c>
      <c r="S7" s="56">
        <v>2188</v>
      </c>
    </row>
    <row r="8" spans="1:20">
      <c r="A8" s="40" t="s">
        <v>1</v>
      </c>
      <c r="B8" s="42">
        <v>1706</v>
      </c>
      <c r="C8" s="56">
        <v>2106</v>
      </c>
      <c r="D8" s="42">
        <v>2116</v>
      </c>
      <c r="E8" s="56">
        <v>2145</v>
      </c>
      <c r="F8" s="42">
        <v>2227</v>
      </c>
      <c r="G8" s="56">
        <v>2285</v>
      </c>
      <c r="H8" s="42">
        <v>2446</v>
      </c>
      <c r="I8" s="56">
        <v>2493</v>
      </c>
      <c r="J8" s="42">
        <v>2538</v>
      </c>
      <c r="K8" s="59">
        <v>2561</v>
      </c>
      <c r="L8" s="60">
        <v>2617</v>
      </c>
      <c r="M8" s="59">
        <v>2711</v>
      </c>
      <c r="N8" s="150">
        <v>0</v>
      </c>
      <c r="O8" s="56">
        <v>1742</v>
      </c>
      <c r="P8" s="42">
        <v>1742</v>
      </c>
      <c r="Q8" s="56">
        <v>1749</v>
      </c>
      <c r="R8" s="42">
        <v>1175</v>
      </c>
      <c r="S8" s="56">
        <v>1508</v>
      </c>
    </row>
    <row r="9" spans="1:20">
      <c r="A9" s="40" t="s">
        <v>2</v>
      </c>
      <c r="B9" s="42">
        <v>2163</v>
      </c>
      <c r="C9" s="56">
        <v>2194</v>
      </c>
      <c r="D9" s="42">
        <v>2210</v>
      </c>
      <c r="E9" s="56">
        <v>2150</v>
      </c>
      <c r="F9" s="42">
        <v>2164</v>
      </c>
      <c r="G9" s="56">
        <v>2129</v>
      </c>
      <c r="H9" s="42">
        <v>2205</v>
      </c>
      <c r="I9" s="56">
        <v>2179</v>
      </c>
      <c r="J9" s="42">
        <v>2209</v>
      </c>
      <c r="K9" s="59">
        <v>2336</v>
      </c>
      <c r="L9" s="60">
        <v>2502</v>
      </c>
      <c r="M9" s="59">
        <v>2740</v>
      </c>
      <c r="N9" s="140">
        <v>2740</v>
      </c>
      <c r="O9" s="56">
        <v>2900</v>
      </c>
      <c r="P9" s="42">
        <v>2960</v>
      </c>
      <c r="Q9" s="56">
        <v>3214</v>
      </c>
      <c r="R9" s="42">
        <v>2873</v>
      </c>
      <c r="S9" s="56">
        <v>2855</v>
      </c>
    </row>
    <row r="10" spans="1:20">
      <c r="A10" s="40" t="s">
        <v>3</v>
      </c>
      <c r="B10" s="42">
        <v>637</v>
      </c>
      <c r="C10" s="56">
        <v>904</v>
      </c>
      <c r="D10" s="42">
        <v>961</v>
      </c>
      <c r="E10" s="56">
        <v>745</v>
      </c>
      <c r="F10" s="42">
        <v>689</v>
      </c>
      <c r="G10" s="56">
        <v>694</v>
      </c>
      <c r="H10" s="42">
        <v>732</v>
      </c>
      <c r="I10" s="56">
        <v>603</v>
      </c>
      <c r="J10" s="42">
        <v>571</v>
      </c>
      <c r="K10" s="59">
        <v>613</v>
      </c>
      <c r="L10" s="60">
        <v>702</v>
      </c>
      <c r="M10" s="59">
        <v>797</v>
      </c>
      <c r="N10" s="140">
        <v>809</v>
      </c>
      <c r="O10" s="56">
        <v>1518</v>
      </c>
      <c r="P10" s="42">
        <v>1534</v>
      </c>
      <c r="Q10" s="56">
        <v>1548</v>
      </c>
      <c r="R10" s="42">
        <v>1015</v>
      </c>
      <c r="S10" s="56">
        <v>1355</v>
      </c>
    </row>
    <row r="11" spans="1:20">
      <c r="A11" s="40" t="s">
        <v>4</v>
      </c>
      <c r="B11" s="42">
        <v>352</v>
      </c>
      <c r="C11" s="56">
        <v>413</v>
      </c>
      <c r="D11" s="42">
        <v>375</v>
      </c>
      <c r="E11" s="56">
        <v>288</v>
      </c>
      <c r="F11" s="42">
        <v>230</v>
      </c>
      <c r="G11" s="56">
        <v>302</v>
      </c>
      <c r="H11" s="42">
        <v>273</v>
      </c>
      <c r="I11" s="56">
        <v>278</v>
      </c>
      <c r="J11" s="42">
        <v>268</v>
      </c>
      <c r="K11" s="59">
        <v>276</v>
      </c>
      <c r="L11" s="60">
        <v>276</v>
      </c>
      <c r="M11" s="59">
        <v>285</v>
      </c>
      <c r="N11" s="140">
        <v>285</v>
      </c>
      <c r="O11" s="56">
        <v>295</v>
      </c>
      <c r="P11" s="42">
        <v>402</v>
      </c>
      <c r="Q11" s="56">
        <v>278</v>
      </c>
      <c r="R11" s="42">
        <v>280</v>
      </c>
      <c r="S11" s="56">
        <v>308</v>
      </c>
    </row>
    <row r="12" spans="1:20">
      <c r="A12" s="40" t="s">
        <v>5</v>
      </c>
      <c r="B12" s="42">
        <v>8228</v>
      </c>
      <c r="C12" s="56">
        <v>8320</v>
      </c>
      <c r="D12" s="42">
        <v>8231</v>
      </c>
      <c r="E12" s="56">
        <v>8527</v>
      </c>
      <c r="F12" s="42">
        <v>8820</v>
      </c>
      <c r="G12" s="56">
        <v>8990</v>
      </c>
      <c r="H12" s="42">
        <v>9433</v>
      </c>
      <c r="I12" s="56">
        <v>7590</v>
      </c>
      <c r="J12" s="42">
        <v>7642</v>
      </c>
      <c r="K12" s="59">
        <v>7850</v>
      </c>
      <c r="L12" s="60">
        <v>7998</v>
      </c>
      <c r="M12" s="59">
        <v>8164</v>
      </c>
      <c r="N12" s="140">
        <v>7998</v>
      </c>
      <c r="O12" s="56">
        <v>8033</v>
      </c>
      <c r="P12" s="42">
        <v>7961</v>
      </c>
      <c r="Q12" s="56">
        <v>8087</v>
      </c>
      <c r="R12" s="42">
        <v>8201</v>
      </c>
      <c r="S12" s="56">
        <v>8523</v>
      </c>
    </row>
    <row r="13" spans="1:20">
      <c r="A13" s="40" t="s">
        <v>6</v>
      </c>
      <c r="B13" s="42">
        <v>3098</v>
      </c>
      <c r="C13" s="56">
        <v>3014</v>
      </c>
      <c r="D13" s="42">
        <v>3656</v>
      </c>
      <c r="E13" s="56">
        <v>3871</v>
      </c>
      <c r="F13" s="42">
        <v>3895</v>
      </c>
      <c r="G13" s="56">
        <v>3490</v>
      </c>
      <c r="H13" s="42">
        <v>4205</v>
      </c>
      <c r="I13" s="56">
        <v>3390</v>
      </c>
      <c r="J13" s="42">
        <v>4330</v>
      </c>
      <c r="K13" s="59">
        <v>3701</v>
      </c>
      <c r="L13" s="60">
        <v>3870</v>
      </c>
      <c r="M13" s="59">
        <v>3864</v>
      </c>
      <c r="N13" s="140">
        <v>3870</v>
      </c>
      <c r="O13" s="56">
        <v>3817</v>
      </c>
      <c r="P13" s="42">
        <v>3918</v>
      </c>
      <c r="Q13" s="56">
        <v>4603</v>
      </c>
      <c r="R13" s="42">
        <v>4431</v>
      </c>
      <c r="S13" s="56">
        <v>4720</v>
      </c>
    </row>
    <row r="14" spans="1:20">
      <c r="A14" s="40" t="s">
        <v>7</v>
      </c>
      <c r="B14" s="42">
        <v>321</v>
      </c>
      <c r="C14" s="56">
        <v>364</v>
      </c>
      <c r="D14" s="42">
        <v>398</v>
      </c>
      <c r="E14" s="56">
        <v>401</v>
      </c>
      <c r="F14" s="42">
        <v>447</v>
      </c>
      <c r="G14" s="56">
        <v>392</v>
      </c>
      <c r="H14" s="42">
        <v>354</v>
      </c>
      <c r="I14" s="56">
        <v>328</v>
      </c>
      <c r="J14" s="42">
        <v>239</v>
      </c>
      <c r="K14" s="59">
        <v>181</v>
      </c>
      <c r="L14" s="60">
        <v>155</v>
      </c>
      <c r="M14" s="59">
        <v>164</v>
      </c>
      <c r="N14" s="140">
        <v>164</v>
      </c>
      <c r="O14" s="56">
        <v>175</v>
      </c>
      <c r="P14" s="42">
        <v>168</v>
      </c>
      <c r="Q14" s="56">
        <v>280</v>
      </c>
      <c r="R14" s="42">
        <v>162</v>
      </c>
      <c r="S14" s="56">
        <v>284</v>
      </c>
    </row>
    <row r="15" spans="1:20">
      <c r="A15" s="40" t="s">
        <v>54</v>
      </c>
      <c r="B15" s="42"/>
      <c r="C15" s="56">
        <v>40</v>
      </c>
      <c r="D15" s="42">
        <v>69</v>
      </c>
      <c r="E15" s="56">
        <v>80</v>
      </c>
      <c r="F15" s="42">
        <v>58</v>
      </c>
      <c r="G15" s="56">
        <v>121</v>
      </c>
      <c r="H15" s="42"/>
      <c r="I15" s="56"/>
      <c r="J15" s="42"/>
      <c r="K15" s="56"/>
      <c r="L15" s="42"/>
      <c r="M15" s="56"/>
      <c r="N15" s="42"/>
      <c r="O15" s="56"/>
      <c r="P15" s="42"/>
      <c r="Q15" s="56"/>
      <c r="R15" s="42"/>
      <c r="S15" s="56"/>
    </row>
    <row r="16" spans="1:20">
      <c r="A16" s="40" t="s">
        <v>8</v>
      </c>
      <c r="B16" s="42">
        <v>4398</v>
      </c>
      <c r="C16" s="56">
        <v>4357</v>
      </c>
      <c r="D16" s="42">
        <v>4402</v>
      </c>
      <c r="E16" s="56">
        <v>4264</v>
      </c>
      <c r="F16" s="42">
        <v>4136</v>
      </c>
      <c r="G16" s="56">
        <v>4101</v>
      </c>
      <c r="H16" s="42">
        <v>3949</v>
      </c>
      <c r="I16" s="56">
        <v>4017</v>
      </c>
      <c r="J16" s="42">
        <v>3367</v>
      </c>
      <c r="K16" s="59">
        <v>2812</v>
      </c>
      <c r="L16" s="60">
        <v>2679</v>
      </c>
      <c r="M16" s="59">
        <v>2427</v>
      </c>
      <c r="N16" s="140">
        <v>2427</v>
      </c>
      <c r="O16" s="56">
        <v>2238</v>
      </c>
      <c r="P16" s="42">
        <v>2205</v>
      </c>
      <c r="Q16" s="56">
        <v>2199</v>
      </c>
      <c r="R16" s="42">
        <v>2057</v>
      </c>
      <c r="S16" s="56">
        <v>1930</v>
      </c>
    </row>
    <row r="17" spans="1:19">
      <c r="A17" s="40" t="s">
        <v>9</v>
      </c>
      <c r="B17" s="42">
        <v>211</v>
      </c>
      <c r="C17" s="56">
        <v>301</v>
      </c>
      <c r="D17" s="42">
        <v>303</v>
      </c>
      <c r="E17" s="56">
        <v>168</v>
      </c>
      <c r="F17" s="42">
        <v>172</v>
      </c>
      <c r="G17" s="56">
        <v>202</v>
      </c>
      <c r="H17" s="42">
        <v>224</v>
      </c>
      <c r="I17" s="56">
        <v>343</v>
      </c>
      <c r="J17" s="42">
        <v>379</v>
      </c>
      <c r="K17" s="59">
        <v>520</v>
      </c>
      <c r="L17" s="60">
        <v>529</v>
      </c>
      <c r="M17" s="59">
        <v>631</v>
      </c>
      <c r="N17" s="140">
        <v>631</v>
      </c>
      <c r="O17" s="56">
        <v>1280</v>
      </c>
      <c r="P17" s="42">
        <v>1365</v>
      </c>
      <c r="Q17" s="56">
        <v>1078</v>
      </c>
      <c r="R17" s="42">
        <v>1184</v>
      </c>
      <c r="S17" s="56">
        <v>1255</v>
      </c>
    </row>
    <row r="18" spans="1:19">
      <c r="A18" s="40" t="s">
        <v>10</v>
      </c>
      <c r="B18" s="42">
        <v>19568</v>
      </c>
      <c r="C18" s="56">
        <v>19692</v>
      </c>
      <c r="D18" s="42">
        <v>18166</v>
      </c>
      <c r="E18" s="56">
        <v>18077</v>
      </c>
      <c r="F18" s="42">
        <v>17548</v>
      </c>
      <c r="G18" s="56">
        <v>17365</v>
      </c>
      <c r="H18" s="42">
        <v>17576</v>
      </c>
      <c r="I18" s="56">
        <v>17335</v>
      </c>
      <c r="J18" s="42">
        <v>17446</v>
      </c>
      <c r="K18" s="59">
        <v>17667</v>
      </c>
      <c r="L18" s="60">
        <v>17756</v>
      </c>
      <c r="M18" s="59">
        <v>17914</v>
      </c>
      <c r="N18" s="140">
        <v>17914</v>
      </c>
      <c r="O18" s="56">
        <v>17693</v>
      </c>
      <c r="P18" s="42">
        <v>17373</v>
      </c>
      <c r="Q18" s="56">
        <v>16962</v>
      </c>
      <c r="R18" s="42">
        <v>16288</v>
      </c>
      <c r="S18" s="56">
        <v>15153</v>
      </c>
    </row>
    <row r="19" spans="1:19">
      <c r="A19" s="40" t="s">
        <v>11</v>
      </c>
      <c r="B19" s="42">
        <v>5788</v>
      </c>
      <c r="C19" s="56">
        <v>6725</v>
      </c>
      <c r="D19" s="42">
        <v>6744</v>
      </c>
      <c r="E19" s="56">
        <v>6661</v>
      </c>
      <c r="F19" s="42">
        <v>6695</v>
      </c>
      <c r="G19" s="56">
        <v>7196</v>
      </c>
      <c r="H19" s="42">
        <v>8206</v>
      </c>
      <c r="I19" s="56">
        <v>8049</v>
      </c>
      <c r="J19" s="42">
        <v>8217</v>
      </c>
      <c r="K19" s="59">
        <v>8549</v>
      </c>
      <c r="L19" s="60">
        <v>8783</v>
      </c>
      <c r="M19" s="59">
        <v>7883</v>
      </c>
      <c r="N19" s="140">
        <v>7883</v>
      </c>
      <c r="O19" s="56">
        <v>8468</v>
      </c>
      <c r="P19" s="42">
        <v>8128</v>
      </c>
      <c r="Q19" s="56">
        <v>8152</v>
      </c>
      <c r="R19" s="42">
        <v>7814</v>
      </c>
      <c r="S19" s="56">
        <v>6505</v>
      </c>
    </row>
    <row r="20" spans="1:19">
      <c r="A20" s="40" t="s">
        <v>12</v>
      </c>
      <c r="B20" s="42">
        <v>587</v>
      </c>
      <c r="C20" s="56">
        <v>587</v>
      </c>
      <c r="D20" s="42">
        <v>619</v>
      </c>
      <c r="E20" s="56">
        <v>665</v>
      </c>
      <c r="F20" s="42">
        <v>663</v>
      </c>
      <c r="G20" s="56">
        <v>531</v>
      </c>
      <c r="H20" s="42">
        <v>543</v>
      </c>
      <c r="I20" s="56">
        <v>574</v>
      </c>
      <c r="J20" s="42">
        <v>496</v>
      </c>
      <c r="K20" s="59">
        <v>477</v>
      </c>
      <c r="L20" s="60">
        <v>507</v>
      </c>
      <c r="M20" s="59">
        <v>502</v>
      </c>
      <c r="N20" s="42">
        <v>502</v>
      </c>
      <c r="O20" s="56">
        <v>455</v>
      </c>
      <c r="P20" s="42">
        <v>495</v>
      </c>
      <c r="Q20" s="56">
        <v>532</v>
      </c>
      <c r="R20" s="42">
        <v>545</v>
      </c>
      <c r="S20" s="56">
        <v>544</v>
      </c>
    </row>
    <row r="21" spans="1:19">
      <c r="A21" s="40" t="s">
        <v>13</v>
      </c>
      <c r="B21" s="42">
        <v>398</v>
      </c>
      <c r="C21" s="56">
        <v>3492</v>
      </c>
      <c r="D21" s="42">
        <v>3908</v>
      </c>
      <c r="E21" s="56">
        <v>4613</v>
      </c>
      <c r="F21" s="42">
        <v>4589</v>
      </c>
      <c r="G21" s="56">
        <v>4171</v>
      </c>
      <c r="H21" s="42">
        <v>4248</v>
      </c>
      <c r="I21" s="56">
        <v>1942</v>
      </c>
      <c r="J21" s="42">
        <v>2556</v>
      </c>
      <c r="K21" s="59">
        <v>2705</v>
      </c>
      <c r="L21" s="60">
        <v>2956</v>
      </c>
      <c r="M21" s="59">
        <v>3038</v>
      </c>
      <c r="N21" s="42">
        <v>3038</v>
      </c>
      <c r="O21" s="56">
        <v>2860</v>
      </c>
      <c r="P21" s="42">
        <v>3075</v>
      </c>
      <c r="Q21" s="56">
        <v>3370</v>
      </c>
      <c r="R21" s="42">
        <v>2666</v>
      </c>
      <c r="S21" s="56">
        <v>2196</v>
      </c>
    </row>
    <row r="22" spans="1:19">
      <c r="A22" s="40" t="s">
        <v>52</v>
      </c>
      <c r="B22" s="42">
        <v>343</v>
      </c>
      <c r="C22" s="56">
        <v>554</v>
      </c>
      <c r="D22" s="42">
        <v>581</v>
      </c>
      <c r="E22" s="56">
        <v>534</v>
      </c>
      <c r="F22" s="42">
        <v>489</v>
      </c>
      <c r="G22" s="56">
        <v>491</v>
      </c>
      <c r="H22" s="42">
        <v>552</v>
      </c>
      <c r="I22" s="56">
        <v>515</v>
      </c>
      <c r="J22" s="42">
        <v>606</v>
      </c>
      <c r="K22" s="59">
        <v>649</v>
      </c>
      <c r="L22" s="60">
        <v>640</v>
      </c>
      <c r="M22" s="59">
        <v>487</v>
      </c>
      <c r="N22" s="42">
        <v>487</v>
      </c>
      <c r="O22" s="56">
        <v>560</v>
      </c>
      <c r="P22" s="42">
        <v>747</v>
      </c>
      <c r="Q22" s="56">
        <v>656</v>
      </c>
      <c r="R22" s="42">
        <v>505</v>
      </c>
      <c r="S22" s="56">
        <v>965</v>
      </c>
    </row>
    <row r="23" spans="1:19">
      <c r="A23" s="40" t="s">
        <v>15</v>
      </c>
      <c r="B23" s="42">
        <v>164</v>
      </c>
      <c r="C23" s="56"/>
      <c r="D23" s="42"/>
      <c r="E23" s="56"/>
      <c r="F23" s="42"/>
      <c r="G23" s="56">
        <v>141</v>
      </c>
      <c r="H23" s="42">
        <v>139</v>
      </c>
      <c r="I23" s="56">
        <v>100</v>
      </c>
      <c r="J23" s="42"/>
      <c r="K23" s="61"/>
      <c r="L23" s="60">
        <v>0</v>
      </c>
      <c r="M23" s="59">
        <v>113</v>
      </c>
      <c r="N23" s="42">
        <v>113</v>
      </c>
      <c r="O23" s="56"/>
      <c r="P23" s="42">
        <v>182</v>
      </c>
      <c r="Q23" s="56">
        <v>260</v>
      </c>
      <c r="R23" s="42">
        <v>203</v>
      </c>
      <c r="S23" s="56">
        <v>250</v>
      </c>
    </row>
    <row r="24" spans="1:19">
      <c r="A24" s="40" t="s">
        <v>16</v>
      </c>
      <c r="B24" s="42">
        <v>77</v>
      </c>
      <c r="C24" s="56">
        <v>24</v>
      </c>
      <c r="D24" s="42">
        <v>21</v>
      </c>
      <c r="E24" s="56"/>
      <c r="F24" s="42"/>
      <c r="G24" s="56"/>
      <c r="H24" s="42"/>
      <c r="I24" s="56"/>
      <c r="J24" s="42"/>
      <c r="K24" s="59"/>
      <c r="L24" s="60"/>
      <c r="M24" s="59"/>
      <c r="N24" s="42"/>
      <c r="O24" s="56"/>
      <c r="P24" s="42"/>
      <c r="Q24" s="56"/>
      <c r="R24" s="42"/>
      <c r="S24" s="56">
        <v>15</v>
      </c>
    </row>
    <row r="25" spans="1:19">
      <c r="A25" s="40" t="s">
        <v>17</v>
      </c>
      <c r="B25" s="42">
        <v>22209</v>
      </c>
      <c r="C25" s="56">
        <v>26567</v>
      </c>
      <c r="D25" s="42">
        <v>27788</v>
      </c>
      <c r="E25" s="56">
        <v>20056</v>
      </c>
      <c r="F25" s="42">
        <v>24802</v>
      </c>
      <c r="G25" s="56">
        <v>24799</v>
      </c>
      <c r="H25" s="42">
        <v>25557</v>
      </c>
      <c r="I25" s="56">
        <v>27286</v>
      </c>
      <c r="J25" s="42">
        <v>25572</v>
      </c>
      <c r="K25" s="59">
        <v>26041</v>
      </c>
      <c r="L25" s="60">
        <v>26501</v>
      </c>
      <c r="M25" s="59">
        <v>26936</v>
      </c>
      <c r="N25" s="42">
        <v>26936</v>
      </c>
      <c r="O25" s="56">
        <v>27180</v>
      </c>
      <c r="P25" s="42">
        <v>28499</v>
      </c>
      <c r="Q25" s="56">
        <v>28884</v>
      </c>
      <c r="R25" s="42">
        <v>27578</v>
      </c>
      <c r="S25" s="56">
        <v>36979</v>
      </c>
    </row>
    <row r="26" spans="1:19">
      <c r="A26" s="40" t="s">
        <v>18</v>
      </c>
      <c r="B26" s="42">
        <v>2728</v>
      </c>
      <c r="C26" s="56">
        <v>2612</v>
      </c>
      <c r="D26" s="42">
        <v>1414</v>
      </c>
      <c r="E26" s="56">
        <v>1155</v>
      </c>
      <c r="F26" s="42"/>
      <c r="G26" s="56"/>
      <c r="H26" s="42"/>
      <c r="I26" s="56"/>
      <c r="J26" s="42"/>
      <c r="K26" s="56"/>
      <c r="L26" s="42"/>
      <c r="M26" s="56"/>
      <c r="N26" s="42"/>
      <c r="O26" s="56"/>
      <c r="P26" s="42"/>
      <c r="Q26" s="56"/>
      <c r="R26" s="42"/>
      <c r="S26" s="56"/>
    </row>
    <row r="27" spans="1:19">
      <c r="A27" s="40" t="s">
        <v>19</v>
      </c>
      <c r="B27" s="42">
        <v>287</v>
      </c>
      <c r="C27" s="56">
        <v>386</v>
      </c>
      <c r="D27" s="42">
        <v>232</v>
      </c>
      <c r="E27" s="56">
        <v>286</v>
      </c>
      <c r="F27" s="42">
        <v>367</v>
      </c>
      <c r="G27" s="56">
        <v>599</v>
      </c>
      <c r="H27" s="42">
        <v>409</v>
      </c>
      <c r="I27" s="56">
        <v>474</v>
      </c>
      <c r="J27" s="42">
        <v>492</v>
      </c>
      <c r="K27" s="59">
        <v>621</v>
      </c>
      <c r="L27" s="60">
        <v>562</v>
      </c>
      <c r="M27" s="59">
        <v>639</v>
      </c>
      <c r="N27" s="140">
        <v>639</v>
      </c>
      <c r="O27" s="56">
        <v>1104</v>
      </c>
      <c r="P27" s="42">
        <v>750</v>
      </c>
      <c r="Q27" s="56">
        <v>1294</v>
      </c>
      <c r="R27" s="42">
        <v>1323</v>
      </c>
      <c r="S27" s="56">
        <v>1143</v>
      </c>
    </row>
    <row r="28" spans="1:19">
      <c r="A28" s="40" t="s">
        <v>20</v>
      </c>
      <c r="B28" s="42">
        <v>16372</v>
      </c>
      <c r="C28" s="56">
        <v>16278</v>
      </c>
      <c r="D28" s="42">
        <v>17455</v>
      </c>
      <c r="E28" s="56">
        <v>19387</v>
      </c>
      <c r="F28" s="42">
        <v>19308</v>
      </c>
      <c r="G28" s="56">
        <v>19701</v>
      </c>
      <c r="H28" s="42">
        <v>20459</v>
      </c>
      <c r="I28" s="56">
        <v>17325</v>
      </c>
      <c r="J28" s="42">
        <v>18241</v>
      </c>
      <c r="K28" s="59">
        <v>17351</v>
      </c>
      <c r="L28" s="60">
        <v>16767</v>
      </c>
      <c r="M28" s="59">
        <v>16340</v>
      </c>
      <c r="N28" s="140">
        <v>16340</v>
      </c>
      <c r="O28" s="56">
        <v>18004</v>
      </c>
      <c r="P28" s="42">
        <v>17710</v>
      </c>
      <c r="Q28" s="56">
        <v>17533</v>
      </c>
      <c r="R28" s="42">
        <v>17396</v>
      </c>
      <c r="S28" s="56">
        <v>18385</v>
      </c>
    </row>
    <row r="29" spans="1:19">
      <c r="A29" s="40" t="s">
        <v>21</v>
      </c>
      <c r="B29" s="42">
        <v>123</v>
      </c>
      <c r="C29" s="56">
        <v>138</v>
      </c>
      <c r="D29" s="42">
        <v>143</v>
      </c>
      <c r="E29" s="56">
        <v>134</v>
      </c>
      <c r="F29" s="42">
        <v>141</v>
      </c>
      <c r="G29" s="56">
        <v>85</v>
      </c>
      <c r="H29" s="42">
        <v>152</v>
      </c>
      <c r="I29" s="56">
        <v>149</v>
      </c>
      <c r="J29" s="42">
        <v>124</v>
      </c>
      <c r="K29" s="59">
        <v>136</v>
      </c>
      <c r="L29" s="60">
        <v>152</v>
      </c>
      <c r="M29" s="59">
        <v>186</v>
      </c>
      <c r="N29" s="140">
        <v>186</v>
      </c>
      <c r="O29" s="56">
        <v>202</v>
      </c>
      <c r="P29" s="42">
        <v>170</v>
      </c>
      <c r="Q29" s="56">
        <v>187</v>
      </c>
      <c r="R29" s="42">
        <v>176</v>
      </c>
      <c r="S29" s="56">
        <v>231</v>
      </c>
    </row>
    <row r="30" spans="1:19">
      <c r="A30" s="40" t="s">
        <v>48</v>
      </c>
      <c r="B30" s="42">
        <v>1204</v>
      </c>
      <c r="C30" s="56">
        <v>1266</v>
      </c>
      <c r="D30" s="42">
        <v>1299</v>
      </c>
      <c r="E30" s="56">
        <v>1321</v>
      </c>
      <c r="F30" s="42">
        <v>1340</v>
      </c>
      <c r="G30" s="56">
        <v>1245</v>
      </c>
      <c r="H30" s="42">
        <v>860</v>
      </c>
      <c r="I30" s="56">
        <v>867</v>
      </c>
      <c r="J30" s="42">
        <v>940</v>
      </c>
      <c r="K30" s="59">
        <v>890</v>
      </c>
      <c r="L30" s="60">
        <v>918</v>
      </c>
      <c r="M30" s="59">
        <v>917</v>
      </c>
      <c r="N30" s="42">
        <v>917</v>
      </c>
      <c r="O30" s="56">
        <v>1438</v>
      </c>
      <c r="P30" s="42">
        <v>1581</v>
      </c>
      <c r="Q30" s="56">
        <v>1693</v>
      </c>
      <c r="R30" s="42">
        <v>1681</v>
      </c>
      <c r="S30" s="56">
        <v>1141</v>
      </c>
    </row>
    <row r="31" spans="1:19">
      <c r="A31" s="40" t="s">
        <v>22</v>
      </c>
      <c r="B31" s="42">
        <v>1639</v>
      </c>
      <c r="C31" s="56">
        <v>2027</v>
      </c>
      <c r="D31" s="42">
        <v>1086</v>
      </c>
      <c r="E31" s="56">
        <v>1457</v>
      </c>
      <c r="F31" s="42">
        <v>1515</v>
      </c>
      <c r="G31" s="56">
        <v>1423</v>
      </c>
      <c r="H31" s="42">
        <v>1305</v>
      </c>
      <c r="I31" s="56">
        <v>1314</v>
      </c>
      <c r="J31" s="42">
        <v>1326</v>
      </c>
      <c r="K31" s="59">
        <v>1319</v>
      </c>
      <c r="L31" s="60">
        <v>1348</v>
      </c>
      <c r="M31" s="59">
        <v>1375</v>
      </c>
      <c r="N31" s="42">
        <v>1375</v>
      </c>
      <c r="O31" s="56">
        <v>615</v>
      </c>
      <c r="P31" s="42">
        <v>855</v>
      </c>
      <c r="Q31" s="56">
        <v>838</v>
      </c>
      <c r="R31" s="42">
        <v>594</v>
      </c>
      <c r="S31" s="56">
        <v>1990</v>
      </c>
    </row>
    <row r="32" spans="1:19">
      <c r="A32" s="40" t="s">
        <v>23</v>
      </c>
      <c r="B32" s="42">
        <v>669</v>
      </c>
      <c r="C32" s="56">
        <v>806</v>
      </c>
      <c r="D32" s="42">
        <v>840</v>
      </c>
      <c r="E32" s="56">
        <v>803</v>
      </c>
      <c r="F32" s="42">
        <v>863</v>
      </c>
      <c r="G32" s="56">
        <v>847</v>
      </c>
      <c r="H32" s="42">
        <v>680</v>
      </c>
      <c r="I32" s="56">
        <v>722</v>
      </c>
      <c r="J32" s="42">
        <v>600</v>
      </c>
      <c r="K32" s="59">
        <v>440</v>
      </c>
      <c r="L32" s="60">
        <v>447</v>
      </c>
      <c r="M32" s="59">
        <v>523</v>
      </c>
      <c r="N32" s="42">
        <v>523</v>
      </c>
      <c r="O32" s="56">
        <v>1398</v>
      </c>
      <c r="P32" s="42">
        <v>1377</v>
      </c>
      <c r="Q32" s="56">
        <v>1606</v>
      </c>
      <c r="R32" s="42">
        <v>1570</v>
      </c>
      <c r="S32" s="56">
        <v>763</v>
      </c>
    </row>
    <row r="33" spans="1:19">
      <c r="A33" s="40" t="s">
        <v>24</v>
      </c>
      <c r="B33" s="42">
        <v>1140</v>
      </c>
      <c r="C33" s="56">
        <v>1203</v>
      </c>
      <c r="D33" s="42">
        <v>1302</v>
      </c>
      <c r="E33" s="56">
        <v>1331</v>
      </c>
      <c r="F33" s="42">
        <v>1386</v>
      </c>
      <c r="G33" s="56">
        <v>1401</v>
      </c>
      <c r="H33" s="42">
        <v>1429</v>
      </c>
      <c r="I33" s="56">
        <v>1398</v>
      </c>
      <c r="J33" s="42">
        <v>1353</v>
      </c>
      <c r="K33" s="59">
        <v>1385</v>
      </c>
      <c r="L33" s="60">
        <v>1418</v>
      </c>
      <c r="M33" s="59">
        <v>1411</v>
      </c>
      <c r="N33" s="42">
        <v>1411</v>
      </c>
      <c r="O33" s="56">
        <v>904</v>
      </c>
      <c r="P33" s="42">
        <v>852</v>
      </c>
      <c r="Q33" s="56">
        <v>902</v>
      </c>
      <c r="R33" s="42">
        <v>639</v>
      </c>
      <c r="S33" s="56">
        <v>1530</v>
      </c>
    </row>
    <row r="34" spans="1:19">
      <c r="A34" s="40" t="s">
        <v>25</v>
      </c>
      <c r="B34" s="42">
        <v>1092</v>
      </c>
      <c r="C34" s="56">
        <v>1009</v>
      </c>
      <c r="D34" s="42">
        <v>1098</v>
      </c>
      <c r="E34" s="56">
        <v>1197</v>
      </c>
      <c r="F34" s="42">
        <v>1248</v>
      </c>
      <c r="G34" s="56">
        <v>1369</v>
      </c>
      <c r="H34" s="42">
        <v>1366</v>
      </c>
      <c r="I34" s="56">
        <v>1392</v>
      </c>
      <c r="J34" s="42">
        <v>1292</v>
      </c>
      <c r="K34" s="59">
        <v>1297</v>
      </c>
      <c r="L34" s="60">
        <v>1356</v>
      </c>
      <c r="M34" s="59">
        <v>1446</v>
      </c>
      <c r="N34" s="42">
        <v>1446</v>
      </c>
      <c r="O34" s="56">
        <v>1292</v>
      </c>
      <c r="P34" s="42">
        <v>1212</v>
      </c>
      <c r="Q34" s="56">
        <v>1122</v>
      </c>
      <c r="R34" s="42">
        <v>1091</v>
      </c>
      <c r="S34" s="56">
        <v>1071</v>
      </c>
    </row>
    <row r="35" spans="1:19">
      <c r="A35" s="40" t="s">
        <v>26</v>
      </c>
      <c r="B35" s="42">
        <v>201</v>
      </c>
      <c r="C35" s="56">
        <v>162</v>
      </c>
      <c r="D35" s="42">
        <v>184</v>
      </c>
      <c r="E35" s="56">
        <v>252</v>
      </c>
      <c r="F35" s="42">
        <v>94</v>
      </c>
      <c r="G35" s="56">
        <v>121</v>
      </c>
      <c r="H35" s="42">
        <v>108</v>
      </c>
      <c r="I35" s="56">
        <v>127</v>
      </c>
      <c r="J35" s="42">
        <v>114</v>
      </c>
      <c r="K35" s="59">
        <v>114</v>
      </c>
      <c r="L35" s="60">
        <v>152</v>
      </c>
      <c r="M35" s="59">
        <v>158</v>
      </c>
      <c r="N35" s="42">
        <v>158</v>
      </c>
      <c r="O35" s="56">
        <v>332</v>
      </c>
      <c r="P35" s="42">
        <v>303</v>
      </c>
      <c r="Q35" s="56">
        <v>309</v>
      </c>
      <c r="R35" s="42">
        <v>252</v>
      </c>
      <c r="S35" s="56">
        <v>638</v>
      </c>
    </row>
    <row r="36" spans="1:19">
      <c r="A36" s="40" t="s">
        <v>27</v>
      </c>
      <c r="B36" s="42">
        <v>32218</v>
      </c>
      <c r="C36" s="56">
        <v>33487</v>
      </c>
      <c r="D36" s="42">
        <v>34039</v>
      </c>
      <c r="E36" s="56">
        <v>30730</v>
      </c>
      <c r="F36" s="42">
        <v>28412</v>
      </c>
      <c r="G36" s="56">
        <v>29127</v>
      </c>
      <c r="H36" s="42">
        <v>30038</v>
      </c>
      <c r="I36" s="56">
        <v>31294</v>
      </c>
      <c r="J36" s="42">
        <v>29618</v>
      </c>
      <c r="K36" s="59">
        <v>31071</v>
      </c>
      <c r="L36" s="60">
        <v>31948</v>
      </c>
      <c r="M36" s="59">
        <v>32544</v>
      </c>
      <c r="N36" s="42">
        <v>32544</v>
      </c>
      <c r="O36" s="56">
        <v>33506</v>
      </c>
      <c r="P36" s="42">
        <v>33472</v>
      </c>
      <c r="Q36" s="56">
        <v>33407</v>
      </c>
      <c r="R36" s="42">
        <v>33748</v>
      </c>
      <c r="S36" s="56">
        <v>38895</v>
      </c>
    </row>
    <row r="37" spans="1:19">
      <c r="A37" s="40" t="s">
        <v>28</v>
      </c>
      <c r="B37" s="42">
        <v>324</v>
      </c>
      <c r="C37" s="56">
        <v>364</v>
      </c>
      <c r="D37" s="42">
        <v>395</v>
      </c>
      <c r="E37" s="56">
        <v>406</v>
      </c>
      <c r="F37" s="42">
        <v>379</v>
      </c>
      <c r="G37" s="56">
        <v>352</v>
      </c>
      <c r="H37" s="42">
        <v>389</v>
      </c>
      <c r="I37" s="56">
        <v>409</v>
      </c>
      <c r="J37" s="42">
        <v>435</v>
      </c>
      <c r="K37" s="59">
        <v>378</v>
      </c>
      <c r="L37" s="60">
        <v>568</v>
      </c>
      <c r="M37" s="59">
        <v>474</v>
      </c>
      <c r="N37" s="42">
        <v>474</v>
      </c>
      <c r="O37" s="56">
        <v>532</v>
      </c>
      <c r="P37" s="42">
        <v>556</v>
      </c>
      <c r="Q37" s="56">
        <v>596</v>
      </c>
      <c r="R37" s="42">
        <v>261</v>
      </c>
      <c r="S37" s="56">
        <v>472</v>
      </c>
    </row>
    <row r="38" spans="1:19">
      <c r="A38" s="40" t="s">
        <v>29</v>
      </c>
      <c r="B38" s="42">
        <v>1272</v>
      </c>
      <c r="C38" s="56">
        <v>1205</v>
      </c>
      <c r="D38" s="42">
        <v>1169</v>
      </c>
      <c r="E38" s="56">
        <v>1572</v>
      </c>
      <c r="F38" s="42">
        <v>1528</v>
      </c>
      <c r="G38" s="56">
        <v>1531</v>
      </c>
      <c r="H38" s="42">
        <v>1485</v>
      </c>
      <c r="I38" s="56">
        <v>2285</v>
      </c>
      <c r="J38" s="42">
        <v>2421</v>
      </c>
      <c r="K38" s="59">
        <v>1979</v>
      </c>
      <c r="L38" s="60">
        <v>2129</v>
      </c>
      <c r="M38" s="59">
        <v>2455</v>
      </c>
      <c r="N38" s="42">
        <v>2455</v>
      </c>
      <c r="O38" s="56">
        <v>2762</v>
      </c>
      <c r="P38" s="42">
        <v>3404</v>
      </c>
      <c r="Q38" s="56">
        <v>2601</v>
      </c>
      <c r="R38" s="42">
        <v>3012</v>
      </c>
      <c r="S38" s="56">
        <v>3060</v>
      </c>
    </row>
    <row r="39" spans="1:19">
      <c r="A39" s="40" t="s">
        <v>53</v>
      </c>
      <c r="B39" s="42"/>
      <c r="C39" s="56">
        <v>1979</v>
      </c>
      <c r="D39" s="42">
        <v>2046</v>
      </c>
      <c r="E39" s="56">
        <v>1955</v>
      </c>
      <c r="F39" s="42">
        <v>2383</v>
      </c>
      <c r="G39" s="56">
        <v>2443</v>
      </c>
      <c r="H39" s="42">
        <v>2718</v>
      </c>
      <c r="I39" s="56">
        <v>2738</v>
      </c>
      <c r="J39" s="42">
        <v>2677</v>
      </c>
      <c r="K39" s="59">
        <v>3077</v>
      </c>
      <c r="L39" s="60">
        <v>3202</v>
      </c>
      <c r="M39" s="59">
        <v>3184</v>
      </c>
      <c r="N39" s="42">
        <v>3184</v>
      </c>
      <c r="O39" s="56">
        <v>3213</v>
      </c>
      <c r="P39" s="42">
        <v>3149</v>
      </c>
      <c r="Q39" s="56">
        <v>4949</v>
      </c>
      <c r="R39" s="42">
        <v>4636</v>
      </c>
      <c r="S39" s="56">
        <v>4856</v>
      </c>
    </row>
    <row r="40" spans="1:19">
      <c r="A40" s="40" t="s">
        <v>30</v>
      </c>
      <c r="B40" s="42">
        <v>997</v>
      </c>
      <c r="C40" s="56">
        <v>1005</v>
      </c>
      <c r="D40" s="42">
        <v>1036</v>
      </c>
      <c r="E40" s="56">
        <v>1002</v>
      </c>
      <c r="F40" s="42">
        <v>907</v>
      </c>
      <c r="G40" s="56">
        <v>767</v>
      </c>
      <c r="H40" s="42">
        <v>636</v>
      </c>
      <c r="I40" s="56">
        <v>602</v>
      </c>
      <c r="J40" s="42">
        <v>604</v>
      </c>
      <c r="K40" s="59">
        <v>607</v>
      </c>
      <c r="L40" s="60">
        <v>598</v>
      </c>
      <c r="M40" s="59">
        <v>527</v>
      </c>
      <c r="N40" s="42">
        <v>527</v>
      </c>
      <c r="O40" s="56">
        <v>506</v>
      </c>
      <c r="P40" s="42">
        <v>633</v>
      </c>
      <c r="Q40" s="56">
        <v>613</v>
      </c>
      <c r="R40" s="42">
        <v>625</v>
      </c>
      <c r="S40" s="56">
        <v>1126</v>
      </c>
    </row>
    <row r="41" spans="1:19">
      <c r="A41" s="40" t="s">
        <v>31</v>
      </c>
      <c r="B41" s="42">
        <v>2487</v>
      </c>
      <c r="C41" s="56">
        <v>2288</v>
      </c>
      <c r="D41" s="42">
        <v>2331</v>
      </c>
      <c r="E41" s="56">
        <v>3058</v>
      </c>
      <c r="F41" s="42">
        <v>2721</v>
      </c>
      <c r="G41" s="56">
        <v>2708</v>
      </c>
      <c r="H41" s="42">
        <v>2674</v>
      </c>
      <c r="I41" s="56">
        <v>2723</v>
      </c>
      <c r="J41" s="42">
        <v>2523</v>
      </c>
      <c r="K41" s="59">
        <v>2341</v>
      </c>
      <c r="L41" s="60">
        <v>2497</v>
      </c>
      <c r="M41" s="59">
        <v>2428</v>
      </c>
      <c r="N41" s="42">
        <v>2428</v>
      </c>
      <c r="O41" s="56">
        <v>2327</v>
      </c>
      <c r="P41" s="42">
        <v>2414</v>
      </c>
      <c r="Q41" s="56">
        <v>2369</v>
      </c>
      <c r="R41" s="42">
        <v>2459</v>
      </c>
      <c r="S41" s="56">
        <v>2547</v>
      </c>
    </row>
    <row r="42" spans="1:19">
      <c r="A42" s="40" t="s">
        <v>32</v>
      </c>
      <c r="B42" s="42">
        <v>3400</v>
      </c>
      <c r="C42" s="56">
        <v>3014</v>
      </c>
      <c r="D42" s="42">
        <v>3108</v>
      </c>
      <c r="E42" s="56">
        <v>3040</v>
      </c>
      <c r="F42" s="42">
        <v>2832</v>
      </c>
      <c r="G42" s="56">
        <v>3375</v>
      </c>
      <c r="H42" s="42">
        <v>2092</v>
      </c>
      <c r="I42" s="56">
        <v>1870</v>
      </c>
      <c r="J42" s="42">
        <v>1688</v>
      </c>
      <c r="K42" s="59">
        <v>1575</v>
      </c>
      <c r="L42" s="60">
        <v>1433</v>
      </c>
      <c r="M42" s="59">
        <v>1375</v>
      </c>
      <c r="N42" s="42">
        <v>1375</v>
      </c>
      <c r="O42" s="56">
        <v>1292</v>
      </c>
      <c r="P42" s="42">
        <v>1078</v>
      </c>
      <c r="Q42" s="56">
        <v>1004</v>
      </c>
      <c r="R42" s="42">
        <v>1088</v>
      </c>
      <c r="S42" s="56">
        <v>1070</v>
      </c>
    </row>
    <row r="43" spans="1:19">
      <c r="A43" s="40" t="s">
        <v>33</v>
      </c>
      <c r="B43" s="42">
        <v>212</v>
      </c>
      <c r="C43" s="56">
        <v>234</v>
      </c>
      <c r="D43" s="42">
        <v>231</v>
      </c>
      <c r="E43" s="56">
        <v>242</v>
      </c>
      <c r="F43" s="42">
        <v>255</v>
      </c>
      <c r="G43" s="56">
        <v>258</v>
      </c>
      <c r="H43" s="42">
        <v>259</v>
      </c>
      <c r="I43" s="56">
        <v>206</v>
      </c>
      <c r="J43" s="42">
        <v>257</v>
      </c>
      <c r="K43" s="59">
        <v>195</v>
      </c>
      <c r="L43" s="60">
        <v>194</v>
      </c>
      <c r="M43" s="59">
        <v>196</v>
      </c>
      <c r="N43" s="42">
        <v>196</v>
      </c>
      <c r="O43" s="56">
        <v>157</v>
      </c>
      <c r="P43" s="42">
        <v>171</v>
      </c>
      <c r="Q43" s="56">
        <v>147</v>
      </c>
      <c r="R43" s="42">
        <v>163</v>
      </c>
      <c r="S43" s="56">
        <v>168</v>
      </c>
    </row>
    <row r="44" spans="1:19">
      <c r="A44" s="40" t="s">
        <v>34</v>
      </c>
      <c r="B44" s="42">
        <v>701</v>
      </c>
      <c r="C44" s="56">
        <v>811</v>
      </c>
      <c r="D44" s="42">
        <v>816</v>
      </c>
      <c r="E44" s="56">
        <v>716</v>
      </c>
      <c r="F44" s="42">
        <v>688</v>
      </c>
      <c r="G44" s="56">
        <v>577</v>
      </c>
      <c r="H44" s="42">
        <v>637</v>
      </c>
      <c r="I44" s="56">
        <v>898</v>
      </c>
      <c r="J44" s="42">
        <v>807</v>
      </c>
      <c r="K44" s="59">
        <v>919</v>
      </c>
      <c r="L44" s="60">
        <v>1137</v>
      </c>
      <c r="M44" s="59">
        <v>1083</v>
      </c>
      <c r="N44" s="42">
        <v>1083</v>
      </c>
      <c r="O44" s="56">
        <v>1159</v>
      </c>
      <c r="P44" s="42">
        <v>1146</v>
      </c>
      <c r="Q44" s="56">
        <v>944</v>
      </c>
      <c r="R44" s="42">
        <v>1085</v>
      </c>
      <c r="S44" s="56">
        <v>1100</v>
      </c>
    </row>
    <row r="45" spans="1:19">
      <c r="A45" s="40" t="s">
        <v>35</v>
      </c>
      <c r="B45" s="42">
        <v>1541</v>
      </c>
      <c r="C45" s="56">
        <v>1837</v>
      </c>
      <c r="D45" s="42">
        <v>2002</v>
      </c>
      <c r="E45" s="56">
        <v>1948</v>
      </c>
      <c r="F45" s="42">
        <v>2170</v>
      </c>
      <c r="G45" s="56">
        <v>2352</v>
      </c>
      <c r="H45" s="42">
        <v>2318</v>
      </c>
      <c r="I45" s="56">
        <v>2271</v>
      </c>
      <c r="J45" s="42">
        <v>2246</v>
      </c>
      <c r="K45" s="59">
        <v>2362</v>
      </c>
      <c r="L45" s="60">
        <v>2500</v>
      </c>
      <c r="M45" s="59">
        <v>2478</v>
      </c>
      <c r="N45" s="42">
        <v>2478</v>
      </c>
      <c r="O45" s="56">
        <v>2499</v>
      </c>
      <c r="P45" s="42">
        <v>2697</v>
      </c>
      <c r="Q45" s="56">
        <v>2695</v>
      </c>
      <c r="R45" s="42">
        <v>2851</v>
      </c>
      <c r="S45" s="56">
        <v>0</v>
      </c>
    </row>
    <row r="46" spans="1:19">
      <c r="A46" s="40" t="s">
        <v>36</v>
      </c>
      <c r="B46" s="42">
        <v>1338</v>
      </c>
      <c r="C46" s="56">
        <v>1345</v>
      </c>
      <c r="D46" s="42">
        <v>1385</v>
      </c>
      <c r="E46" s="56">
        <v>1461</v>
      </c>
      <c r="F46" s="42">
        <v>1534</v>
      </c>
      <c r="G46" s="56">
        <v>1556</v>
      </c>
      <c r="H46" s="42">
        <v>1621</v>
      </c>
      <c r="I46" s="56">
        <v>1761</v>
      </c>
      <c r="J46" s="42">
        <v>1683</v>
      </c>
      <c r="K46" s="59">
        <v>1346</v>
      </c>
      <c r="L46" s="60">
        <v>1536</v>
      </c>
      <c r="M46" s="59">
        <v>1597</v>
      </c>
      <c r="N46" s="42">
        <v>1597</v>
      </c>
      <c r="O46" s="56">
        <v>1692</v>
      </c>
      <c r="P46" s="42">
        <v>1830</v>
      </c>
      <c r="Q46" s="56">
        <v>1803</v>
      </c>
      <c r="R46" s="42">
        <v>1423</v>
      </c>
      <c r="S46" s="56">
        <v>2178</v>
      </c>
    </row>
    <row r="47" spans="1:19">
      <c r="A47" s="40" t="s">
        <v>37</v>
      </c>
      <c r="B47" s="42">
        <v>88</v>
      </c>
      <c r="C47" s="56">
        <v>0</v>
      </c>
      <c r="D47" s="42">
        <v>75</v>
      </c>
      <c r="E47" s="56">
        <v>72</v>
      </c>
      <c r="F47" s="42">
        <v>105</v>
      </c>
      <c r="G47" s="56">
        <v>121</v>
      </c>
      <c r="H47" s="42">
        <v>91</v>
      </c>
      <c r="I47" s="56">
        <v>83</v>
      </c>
      <c r="J47" s="42">
        <v>81</v>
      </c>
      <c r="K47" s="59">
        <v>105</v>
      </c>
      <c r="L47" s="60">
        <v>225</v>
      </c>
      <c r="M47" s="59">
        <v>227</v>
      </c>
      <c r="N47" s="42">
        <v>227</v>
      </c>
      <c r="O47" s="56">
        <v>336</v>
      </c>
      <c r="P47" s="42">
        <v>309</v>
      </c>
      <c r="Q47" s="56">
        <v>293</v>
      </c>
      <c r="R47" s="42">
        <v>240</v>
      </c>
      <c r="S47" s="56">
        <v>263</v>
      </c>
    </row>
    <row r="48" spans="1:19">
      <c r="A48" s="40" t="s">
        <v>38</v>
      </c>
      <c r="B48" s="42">
        <v>1583</v>
      </c>
      <c r="C48" s="56">
        <v>1759</v>
      </c>
      <c r="D48" s="42">
        <v>2262</v>
      </c>
      <c r="E48" s="56">
        <v>2386</v>
      </c>
      <c r="F48" s="42">
        <v>2761</v>
      </c>
      <c r="G48" s="56">
        <v>2532</v>
      </c>
      <c r="H48" s="42">
        <v>2695</v>
      </c>
      <c r="I48" s="56">
        <v>2814</v>
      </c>
      <c r="J48" s="42">
        <v>2624</v>
      </c>
      <c r="K48" s="59">
        <v>3192</v>
      </c>
      <c r="L48" s="60">
        <v>3259</v>
      </c>
      <c r="M48" s="59">
        <v>3561</v>
      </c>
      <c r="N48" s="42">
        <v>3561</v>
      </c>
      <c r="O48" s="56">
        <v>3516</v>
      </c>
      <c r="P48" s="42">
        <v>3345</v>
      </c>
      <c r="Q48" s="56">
        <v>3224</v>
      </c>
      <c r="R48" s="42">
        <v>3681</v>
      </c>
      <c r="S48" s="56">
        <v>4010</v>
      </c>
    </row>
    <row r="49" spans="1:19">
      <c r="A49" s="40" t="s">
        <v>39</v>
      </c>
      <c r="B49" s="42">
        <v>617</v>
      </c>
      <c r="C49" s="56">
        <v>762</v>
      </c>
      <c r="D49" s="42">
        <v>661</v>
      </c>
      <c r="E49" s="56">
        <v>649</v>
      </c>
      <c r="F49" s="42">
        <v>529</v>
      </c>
      <c r="G49" s="56">
        <v>245</v>
      </c>
      <c r="H49" s="42">
        <v>619</v>
      </c>
      <c r="I49" s="56">
        <v>557</v>
      </c>
      <c r="J49" s="42">
        <v>672</v>
      </c>
      <c r="K49" s="59">
        <v>471</v>
      </c>
      <c r="L49" s="60">
        <v>632</v>
      </c>
      <c r="M49" s="59">
        <v>588</v>
      </c>
      <c r="N49" s="42">
        <v>588</v>
      </c>
      <c r="O49" s="56">
        <v>535</v>
      </c>
      <c r="P49" s="42">
        <v>594</v>
      </c>
      <c r="Q49" s="56">
        <v>483</v>
      </c>
      <c r="R49" s="42">
        <v>465</v>
      </c>
      <c r="S49" s="56">
        <v>534</v>
      </c>
    </row>
    <row r="50" spans="1:19">
      <c r="A50" s="40" t="s">
        <v>40</v>
      </c>
      <c r="B50" s="42">
        <v>1186</v>
      </c>
      <c r="C50" s="56">
        <v>1389</v>
      </c>
      <c r="D50" s="42">
        <v>1710</v>
      </c>
      <c r="E50" s="56">
        <v>1423</v>
      </c>
      <c r="F50" s="42">
        <v>1436</v>
      </c>
      <c r="G50" s="56">
        <v>1437</v>
      </c>
      <c r="H50" s="42">
        <v>1443</v>
      </c>
      <c r="I50" s="56">
        <v>1449</v>
      </c>
      <c r="J50" s="42">
        <v>1839</v>
      </c>
      <c r="K50" s="59">
        <v>1334</v>
      </c>
      <c r="L50" s="60">
        <v>809</v>
      </c>
      <c r="M50" s="59">
        <v>885</v>
      </c>
      <c r="N50" s="42">
        <v>885</v>
      </c>
      <c r="O50" s="56">
        <v>964</v>
      </c>
      <c r="P50" s="42">
        <v>1065</v>
      </c>
      <c r="Q50" s="56">
        <v>1319</v>
      </c>
      <c r="R50" s="42">
        <v>839</v>
      </c>
      <c r="S50" s="56">
        <v>1223</v>
      </c>
    </row>
    <row r="51" spans="1:19">
      <c r="A51" s="40" t="s">
        <v>41</v>
      </c>
      <c r="B51" s="42">
        <v>0</v>
      </c>
      <c r="C51" s="56">
        <v>237</v>
      </c>
      <c r="D51" s="42">
        <v>262</v>
      </c>
      <c r="E51" s="56">
        <v>329</v>
      </c>
      <c r="F51" s="42">
        <v>241</v>
      </c>
      <c r="G51" s="56">
        <v>294</v>
      </c>
      <c r="H51" s="42">
        <v>384</v>
      </c>
      <c r="I51" s="56">
        <v>270</v>
      </c>
      <c r="J51" s="42">
        <v>279</v>
      </c>
      <c r="K51" s="59">
        <v>294</v>
      </c>
      <c r="L51" s="60">
        <v>329</v>
      </c>
      <c r="M51" s="59">
        <v>326</v>
      </c>
      <c r="N51" s="42">
        <v>326</v>
      </c>
      <c r="O51" s="56">
        <v>377</v>
      </c>
      <c r="P51" s="42">
        <v>524</v>
      </c>
      <c r="Q51" s="56">
        <v>543</v>
      </c>
      <c r="R51" s="42">
        <v>349</v>
      </c>
      <c r="S51" s="56">
        <v>415</v>
      </c>
    </row>
    <row r="52" spans="1:19">
      <c r="A52" s="40" t="s">
        <v>42</v>
      </c>
      <c r="B52" s="42">
        <v>534</v>
      </c>
      <c r="C52" s="56">
        <v>572</v>
      </c>
      <c r="D52" s="42">
        <v>595</v>
      </c>
      <c r="E52" s="56">
        <v>576</v>
      </c>
      <c r="F52" s="42">
        <v>599</v>
      </c>
      <c r="G52" s="56">
        <v>648</v>
      </c>
      <c r="H52" s="42">
        <v>645</v>
      </c>
      <c r="I52" s="56">
        <v>674</v>
      </c>
      <c r="J52" s="42">
        <v>719</v>
      </c>
      <c r="K52" s="59">
        <v>802</v>
      </c>
      <c r="L52" s="151">
        <v>0</v>
      </c>
      <c r="M52" s="59">
        <v>713</v>
      </c>
      <c r="N52" s="42">
        <v>713</v>
      </c>
      <c r="O52" s="56">
        <v>830</v>
      </c>
      <c r="P52" s="42">
        <v>801</v>
      </c>
      <c r="Q52" s="56">
        <v>823</v>
      </c>
      <c r="R52" s="42">
        <v>815</v>
      </c>
      <c r="S52" s="56">
        <v>954</v>
      </c>
    </row>
    <row r="53" spans="1:19">
      <c r="A53" s="40" t="s">
        <v>43</v>
      </c>
      <c r="B53" s="42">
        <v>3091</v>
      </c>
      <c r="C53" s="56">
        <v>2975</v>
      </c>
      <c r="D53" s="42">
        <v>3246</v>
      </c>
      <c r="E53" s="56">
        <v>3279</v>
      </c>
      <c r="F53" s="42">
        <v>3280</v>
      </c>
      <c r="G53" s="56">
        <v>3306</v>
      </c>
      <c r="H53" s="42">
        <v>3153</v>
      </c>
      <c r="I53" s="56">
        <v>3024</v>
      </c>
      <c r="J53" s="42">
        <v>719</v>
      </c>
      <c r="K53" s="59">
        <v>2837</v>
      </c>
      <c r="L53" s="60">
        <v>2798</v>
      </c>
      <c r="M53" s="59">
        <v>2677</v>
      </c>
      <c r="N53" s="42">
        <v>2677</v>
      </c>
      <c r="O53" s="56">
        <v>2720</v>
      </c>
      <c r="P53" s="42">
        <v>2640</v>
      </c>
      <c r="Q53" s="56">
        <v>2746</v>
      </c>
      <c r="R53" s="42">
        <v>2658</v>
      </c>
      <c r="S53" s="56">
        <v>2885</v>
      </c>
    </row>
    <row r="54" spans="1:19">
      <c r="A54" s="40" t="s">
        <v>44</v>
      </c>
      <c r="B54" s="42">
        <v>902</v>
      </c>
      <c r="C54" s="56">
        <v>1023</v>
      </c>
      <c r="D54" s="42">
        <v>1200</v>
      </c>
      <c r="E54" s="56">
        <v>1315</v>
      </c>
      <c r="F54" s="42">
        <v>1313</v>
      </c>
      <c r="G54" s="56">
        <v>1480</v>
      </c>
      <c r="H54" s="42">
        <v>1622</v>
      </c>
      <c r="I54" s="56">
        <v>1765</v>
      </c>
      <c r="J54" s="42">
        <v>2199</v>
      </c>
      <c r="K54" s="59">
        <v>2284</v>
      </c>
      <c r="L54" s="60">
        <v>2399</v>
      </c>
      <c r="M54" s="59">
        <v>2279</v>
      </c>
      <c r="N54" s="42">
        <v>2279</v>
      </c>
      <c r="O54" s="56">
        <v>2358</v>
      </c>
      <c r="P54" s="42">
        <v>2278</v>
      </c>
      <c r="Q54" s="56">
        <v>2057</v>
      </c>
      <c r="R54" s="42">
        <v>1629</v>
      </c>
      <c r="S54" s="153">
        <v>0</v>
      </c>
    </row>
    <row r="55" spans="1:19">
      <c r="A55" s="40" t="s">
        <v>45</v>
      </c>
      <c r="B55" s="42">
        <v>1125</v>
      </c>
      <c r="C55" s="56">
        <v>1296</v>
      </c>
      <c r="D55" s="42">
        <v>1446</v>
      </c>
      <c r="E55" s="56">
        <v>1366</v>
      </c>
      <c r="F55" s="42">
        <v>1549</v>
      </c>
      <c r="G55" s="56">
        <v>1336</v>
      </c>
      <c r="H55" s="42">
        <v>1461</v>
      </c>
      <c r="I55" s="56">
        <v>1320</v>
      </c>
      <c r="J55" s="42">
        <v>1410</v>
      </c>
      <c r="K55" s="59">
        <v>1313</v>
      </c>
      <c r="L55" s="60">
        <v>1394</v>
      </c>
      <c r="M55" s="59">
        <v>1407</v>
      </c>
      <c r="N55" s="42">
        <v>1407</v>
      </c>
      <c r="O55" s="56">
        <v>1412</v>
      </c>
      <c r="P55" s="42">
        <v>1402</v>
      </c>
      <c r="Q55" s="56">
        <v>1475</v>
      </c>
      <c r="R55" s="42">
        <v>1329</v>
      </c>
      <c r="S55" s="56">
        <v>1415</v>
      </c>
    </row>
    <row r="56" spans="1:19">
      <c r="A56" s="40" t="s">
        <v>46</v>
      </c>
      <c r="B56" s="42">
        <v>658</v>
      </c>
      <c r="C56" s="56">
        <v>832</v>
      </c>
      <c r="D56" s="42">
        <v>855</v>
      </c>
      <c r="E56" s="56">
        <v>776</v>
      </c>
      <c r="F56" s="42">
        <v>761</v>
      </c>
      <c r="G56" s="56">
        <v>544</v>
      </c>
      <c r="H56" s="42">
        <v>765</v>
      </c>
      <c r="I56" s="56">
        <v>916</v>
      </c>
      <c r="J56" s="42">
        <v>1220</v>
      </c>
      <c r="K56" s="59">
        <v>1110</v>
      </c>
      <c r="L56" s="60">
        <v>769</v>
      </c>
      <c r="M56" s="59">
        <v>970</v>
      </c>
      <c r="N56" s="42">
        <v>769</v>
      </c>
      <c r="O56" s="56">
        <v>1032</v>
      </c>
      <c r="P56" s="42">
        <v>1030</v>
      </c>
      <c r="Q56" s="56">
        <v>1097</v>
      </c>
      <c r="R56" s="42">
        <v>1466</v>
      </c>
      <c r="S56" s="56">
        <v>2725</v>
      </c>
    </row>
    <row r="57" spans="1:19">
      <c r="A57" s="12"/>
      <c r="B57" s="55">
        <f t="shared" ref="B57:J57" si="0">SUM(B7:B56)</f>
        <v>152983</v>
      </c>
      <c r="C57" s="55">
        <f t="shared" si="0"/>
        <v>167044</v>
      </c>
      <c r="D57" s="55">
        <f t="shared" si="0"/>
        <v>169465</v>
      </c>
      <c r="E57" s="55">
        <f t="shared" si="0"/>
        <v>161531</v>
      </c>
      <c r="F57" s="55">
        <f t="shared" si="0"/>
        <v>163217</v>
      </c>
      <c r="G57" s="55">
        <f t="shared" si="0"/>
        <v>163804</v>
      </c>
      <c r="H57" s="55">
        <f t="shared" si="0"/>
        <v>167891</v>
      </c>
      <c r="I57" s="55">
        <f t="shared" si="0"/>
        <v>163119</v>
      </c>
      <c r="J57" s="55">
        <f t="shared" si="0"/>
        <v>159884</v>
      </c>
      <c r="K57" s="55">
        <f t="shared" ref="K57:R57" si="1">SUM(K7:K56)</f>
        <v>162441</v>
      </c>
      <c r="L57" s="55">
        <f t="shared" si="1"/>
        <v>163990</v>
      </c>
      <c r="M57" s="55">
        <f t="shared" si="1"/>
        <v>165617</v>
      </c>
      <c r="N57" s="55">
        <f t="shared" si="1"/>
        <v>162557</v>
      </c>
      <c r="O57" s="55">
        <f t="shared" si="1"/>
        <v>170364</v>
      </c>
      <c r="P57" s="55">
        <f t="shared" si="1"/>
        <v>172284</v>
      </c>
      <c r="Q57" s="55">
        <f t="shared" si="1"/>
        <v>174875</v>
      </c>
      <c r="R57" s="55">
        <f t="shared" si="1"/>
        <v>168649</v>
      </c>
      <c r="S57" s="55">
        <f t="shared" ref="S57" si="2">SUM(S7:S56)</f>
        <v>184321</v>
      </c>
    </row>
    <row r="58" spans="1:19">
      <c r="A58" s="12"/>
      <c r="B58" s="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</sheetData>
  <mergeCells count="2">
    <mergeCell ref="A2:R2"/>
    <mergeCell ref="A3:R3"/>
  </mergeCells>
  <pageMargins left="0.7" right="0.7" top="0.75" bottom="0.75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22" workbookViewId="0">
      <selection activeCell="O16" sqref="O16"/>
    </sheetView>
  </sheetViews>
  <sheetFormatPr defaultRowHeight="12.75"/>
  <cols>
    <col min="1" max="1" width="23.7109375" bestFit="1" customWidth="1"/>
    <col min="2" max="4" width="9.140625" style="70"/>
    <col min="5" max="5" width="10.140625" style="70" customWidth="1"/>
    <col min="6" max="6" width="11" style="70" customWidth="1"/>
    <col min="7" max="7" width="23.71093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152</v>
      </c>
      <c r="B2" s="155"/>
      <c r="C2" s="155"/>
      <c r="D2" s="155"/>
      <c r="E2" s="155"/>
      <c r="F2" s="155"/>
    </row>
    <row r="3" spans="1:6" ht="15">
      <c r="A3" s="156" t="s">
        <v>153</v>
      </c>
      <c r="B3" s="156"/>
      <c r="C3" s="156"/>
      <c r="D3" s="156"/>
      <c r="E3" s="156"/>
      <c r="F3" s="156"/>
    </row>
    <row r="4" spans="1:6">
      <c r="A4" s="1"/>
      <c r="B4" s="1"/>
      <c r="C4" s="2"/>
      <c r="D4" s="1"/>
      <c r="E4" s="1"/>
      <c r="F4" s="1"/>
    </row>
    <row r="5" spans="1:6" ht="16.5" customHeight="1">
      <c r="A5" s="45" t="s">
        <v>80</v>
      </c>
      <c r="B5" s="93" t="s">
        <v>81</v>
      </c>
      <c r="C5" s="93" t="s">
        <v>82</v>
      </c>
      <c r="D5" s="93" t="s">
        <v>83</v>
      </c>
      <c r="E5" s="110" t="s">
        <v>134</v>
      </c>
      <c r="F5" s="95" t="s">
        <v>85</v>
      </c>
    </row>
    <row r="6" spans="1:6">
      <c r="A6" s="83" t="s">
        <v>86</v>
      </c>
      <c r="B6" s="113">
        <v>403</v>
      </c>
      <c r="C6" s="91">
        <v>1785</v>
      </c>
      <c r="D6" s="91">
        <f>SUM(B6:C6)</f>
        <v>2188</v>
      </c>
      <c r="E6" s="109">
        <f>(B6*100)/D6</f>
        <v>18.418647166361975</v>
      </c>
      <c r="F6" s="96">
        <f>(D6*100)/$D$54</f>
        <v>1.1870595320120876</v>
      </c>
    </row>
    <row r="7" spans="1:6">
      <c r="A7" s="84" t="s">
        <v>87</v>
      </c>
      <c r="B7" s="113">
        <v>174</v>
      </c>
      <c r="C7" s="91">
        <v>1334</v>
      </c>
      <c r="D7" s="91">
        <f t="shared" ref="D7:D53" si="0">SUM(B7:C7)</f>
        <v>1508</v>
      </c>
      <c r="E7" s="109">
        <f t="shared" ref="E7:E53" si="1">(B7*100)/D7</f>
        <v>11.538461538461538</v>
      </c>
      <c r="F7" s="96">
        <f t="shared" ref="F7:F53" si="2">(D7*100)/$D$54</f>
        <v>0.81813792242880623</v>
      </c>
    </row>
    <row r="8" spans="1:6">
      <c r="A8" s="84" t="s">
        <v>88</v>
      </c>
      <c r="B8" s="113">
        <v>1271</v>
      </c>
      <c r="C8" s="91">
        <v>1584</v>
      </c>
      <c r="D8" s="91">
        <f t="shared" si="0"/>
        <v>2855</v>
      </c>
      <c r="E8" s="109">
        <f t="shared" si="1"/>
        <v>44.518388791593694</v>
      </c>
      <c r="F8" s="96">
        <f t="shared" si="2"/>
        <v>1.5489282284709827</v>
      </c>
    </row>
    <row r="9" spans="1:6">
      <c r="A9" s="84" t="s">
        <v>89</v>
      </c>
      <c r="B9" s="113">
        <v>109</v>
      </c>
      <c r="C9" s="91">
        <v>1246</v>
      </c>
      <c r="D9" s="91">
        <f t="shared" si="0"/>
        <v>1355</v>
      </c>
      <c r="E9" s="109">
        <f t="shared" si="1"/>
        <v>8.0442804428044283</v>
      </c>
      <c r="F9" s="96">
        <f t="shared" si="2"/>
        <v>0.73513056027256796</v>
      </c>
    </row>
    <row r="10" spans="1:6">
      <c r="A10" s="84" t="s">
        <v>90</v>
      </c>
      <c r="B10" s="113">
        <v>160</v>
      </c>
      <c r="C10" s="91">
        <v>148</v>
      </c>
      <c r="D10" s="91">
        <f t="shared" si="0"/>
        <v>308</v>
      </c>
      <c r="E10" s="109">
        <f t="shared" si="1"/>
        <v>51.948051948051948</v>
      </c>
      <c r="F10" s="96">
        <f t="shared" si="2"/>
        <v>0.16709978787007448</v>
      </c>
    </row>
    <row r="11" spans="1:6">
      <c r="A11" s="84" t="s">
        <v>91</v>
      </c>
      <c r="B11" s="113">
        <v>3852</v>
      </c>
      <c r="C11" s="91">
        <v>4671</v>
      </c>
      <c r="D11" s="91">
        <f t="shared" si="0"/>
        <v>8523</v>
      </c>
      <c r="E11" s="109">
        <f t="shared" si="1"/>
        <v>45.195353748680041</v>
      </c>
      <c r="F11" s="96">
        <f t="shared" si="2"/>
        <v>4.6239983507033928</v>
      </c>
    </row>
    <row r="12" spans="1:6">
      <c r="A12" s="84" t="s">
        <v>92</v>
      </c>
      <c r="B12" s="113">
        <v>1866</v>
      </c>
      <c r="C12" s="91">
        <v>2854</v>
      </c>
      <c r="D12" s="91">
        <f t="shared" si="0"/>
        <v>4720</v>
      </c>
      <c r="E12" s="109">
        <f t="shared" si="1"/>
        <v>39.533898305084747</v>
      </c>
      <c r="F12" s="96">
        <f t="shared" si="2"/>
        <v>2.5607499959310118</v>
      </c>
    </row>
    <row r="13" spans="1:6">
      <c r="A13" s="83" t="s">
        <v>93</v>
      </c>
      <c r="B13" s="113">
        <v>45</v>
      </c>
      <c r="C13" s="91">
        <v>239</v>
      </c>
      <c r="D13" s="91">
        <f t="shared" si="0"/>
        <v>284</v>
      </c>
      <c r="E13" s="109">
        <f t="shared" si="1"/>
        <v>15.845070422535212</v>
      </c>
      <c r="F13" s="96">
        <f t="shared" si="2"/>
        <v>0.15407902517889985</v>
      </c>
    </row>
    <row r="14" spans="1:6">
      <c r="A14" s="84" t="s">
        <v>94</v>
      </c>
      <c r="B14" s="113">
        <v>355</v>
      </c>
      <c r="C14" s="91">
        <v>1575</v>
      </c>
      <c r="D14" s="91">
        <f t="shared" si="0"/>
        <v>1930</v>
      </c>
      <c r="E14" s="109">
        <f t="shared" si="1"/>
        <v>18.393782383419691</v>
      </c>
      <c r="F14" s="96">
        <f t="shared" si="2"/>
        <v>1.0470863330819602</v>
      </c>
    </row>
    <row r="15" spans="1:6">
      <c r="A15" s="84" t="s">
        <v>95</v>
      </c>
      <c r="B15" s="113">
        <v>434</v>
      </c>
      <c r="C15" s="91">
        <v>821</v>
      </c>
      <c r="D15" s="91">
        <f t="shared" si="0"/>
        <v>1255</v>
      </c>
      <c r="E15" s="109">
        <f t="shared" si="1"/>
        <v>34.581673306772906</v>
      </c>
      <c r="F15" s="96">
        <f t="shared" si="2"/>
        <v>0.6808773823926737</v>
      </c>
    </row>
    <row r="16" spans="1:6">
      <c r="A16" s="84" t="s">
        <v>96</v>
      </c>
      <c r="B16" s="113">
        <v>193</v>
      </c>
      <c r="C16" s="91">
        <v>14960</v>
      </c>
      <c r="D16" s="91">
        <f t="shared" si="0"/>
        <v>15153</v>
      </c>
      <c r="E16" s="109">
        <f t="shared" si="1"/>
        <v>1.2736751798323764</v>
      </c>
      <c r="F16" s="96">
        <f t="shared" si="2"/>
        <v>8.2209840441403852</v>
      </c>
    </row>
    <row r="17" spans="1:6">
      <c r="A17" s="84" t="s">
        <v>97</v>
      </c>
      <c r="B17" s="113">
        <v>366</v>
      </c>
      <c r="C17" s="91">
        <v>6139</v>
      </c>
      <c r="D17" s="91">
        <f t="shared" si="0"/>
        <v>6505</v>
      </c>
      <c r="E17" s="109">
        <f t="shared" si="1"/>
        <v>5.6264411990776324</v>
      </c>
      <c r="F17" s="96">
        <f t="shared" si="2"/>
        <v>3.5291692210871251</v>
      </c>
    </row>
    <row r="18" spans="1:6">
      <c r="A18" s="83" t="s">
        <v>98</v>
      </c>
      <c r="B18" s="113">
        <v>24</v>
      </c>
      <c r="C18" s="91">
        <v>520</v>
      </c>
      <c r="D18" s="91">
        <f t="shared" si="0"/>
        <v>544</v>
      </c>
      <c r="E18" s="109">
        <f t="shared" si="1"/>
        <v>4.4117647058823533</v>
      </c>
      <c r="F18" s="96">
        <f t="shared" si="2"/>
        <v>0.29513728766662506</v>
      </c>
    </row>
    <row r="19" spans="1:6">
      <c r="A19" s="83" t="s">
        <v>99</v>
      </c>
      <c r="B19" s="113">
        <v>1004</v>
      </c>
      <c r="C19" s="91">
        <v>1192</v>
      </c>
      <c r="D19" s="91">
        <f t="shared" si="0"/>
        <v>2196</v>
      </c>
      <c r="E19" s="109">
        <f t="shared" si="1"/>
        <v>45.719489981785067</v>
      </c>
      <c r="F19" s="96">
        <f t="shared" si="2"/>
        <v>1.1913997862424792</v>
      </c>
    </row>
    <row r="20" spans="1:6">
      <c r="A20" s="83" t="s">
        <v>100</v>
      </c>
      <c r="B20" s="113">
        <v>207</v>
      </c>
      <c r="C20" s="91">
        <v>758</v>
      </c>
      <c r="D20" s="91">
        <f t="shared" si="0"/>
        <v>965</v>
      </c>
      <c r="E20" s="109">
        <f t="shared" si="1"/>
        <v>21.45077720207254</v>
      </c>
      <c r="F20" s="96">
        <f t="shared" si="2"/>
        <v>0.5235431665409801</v>
      </c>
    </row>
    <row r="21" spans="1:6">
      <c r="A21" s="84" t="s">
        <v>101</v>
      </c>
      <c r="B21" s="113">
        <v>78</v>
      </c>
      <c r="C21" s="91">
        <v>172</v>
      </c>
      <c r="D21" s="91">
        <f t="shared" si="0"/>
        <v>250</v>
      </c>
      <c r="E21" s="109">
        <f t="shared" si="1"/>
        <v>31.2</v>
      </c>
      <c r="F21" s="96">
        <f t="shared" si="2"/>
        <v>0.13563294469973577</v>
      </c>
    </row>
    <row r="22" spans="1:6">
      <c r="A22" s="121" t="s">
        <v>154</v>
      </c>
      <c r="B22" s="113">
        <v>0</v>
      </c>
      <c r="C22" s="91">
        <v>15</v>
      </c>
      <c r="D22" s="91">
        <f t="shared" si="0"/>
        <v>15</v>
      </c>
      <c r="E22" s="109">
        <f t="shared" si="1"/>
        <v>0</v>
      </c>
      <c r="F22" s="96">
        <f t="shared" si="2"/>
        <v>8.1379766819841479E-3</v>
      </c>
    </row>
    <row r="23" spans="1:6">
      <c r="A23" s="84" t="s">
        <v>102</v>
      </c>
      <c r="B23" s="113">
        <v>4303</v>
      </c>
      <c r="C23" s="91">
        <v>32676</v>
      </c>
      <c r="D23" s="91">
        <f t="shared" si="0"/>
        <v>36979</v>
      </c>
      <c r="E23" s="109">
        <f t="shared" si="1"/>
        <v>11.63633413559047</v>
      </c>
      <c r="F23" s="96">
        <f t="shared" si="2"/>
        <v>20.062282648206118</v>
      </c>
    </row>
    <row r="24" spans="1:6">
      <c r="A24" s="84" t="s">
        <v>103</v>
      </c>
      <c r="B24" s="113">
        <v>1062</v>
      </c>
      <c r="C24" s="91">
        <v>81</v>
      </c>
      <c r="D24" s="91">
        <f t="shared" si="0"/>
        <v>1143</v>
      </c>
      <c r="E24" s="109">
        <f t="shared" si="1"/>
        <v>92.913385826771659</v>
      </c>
      <c r="F24" s="96">
        <f t="shared" si="2"/>
        <v>0.62011382316719199</v>
      </c>
    </row>
    <row r="25" spans="1:6">
      <c r="A25" s="84" t="s">
        <v>104</v>
      </c>
      <c r="B25" s="113">
        <v>6114</v>
      </c>
      <c r="C25" s="91">
        <v>12271</v>
      </c>
      <c r="D25" s="91">
        <f t="shared" si="0"/>
        <v>18385</v>
      </c>
      <c r="E25" s="109">
        <f t="shared" si="1"/>
        <v>33.255371226543375</v>
      </c>
      <c r="F25" s="96">
        <f t="shared" si="2"/>
        <v>9.9744467532185705</v>
      </c>
    </row>
    <row r="26" spans="1:6">
      <c r="A26" s="84" t="s">
        <v>105</v>
      </c>
      <c r="B26" s="113">
        <v>63</v>
      </c>
      <c r="C26" s="91">
        <v>168</v>
      </c>
      <c r="D26" s="91">
        <f t="shared" si="0"/>
        <v>231</v>
      </c>
      <c r="E26" s="109">
        <f t="shared" si="1"/>
        <v>27.272727272727273</v>
      </c>
      <c r="F26" s="96">
        <f t="shared" si="2"/>
        <v>0.12532484090255586</v>
      </c>
    </row>
    <row r="27" spans="1:6">
      <c r="A27" s="84" t="s">
        <v>106</v>
      </c>
      <c r="B27" s="113">
        <v>265</v>
      </c>
      <c r="C27" s="91">
        <v>876</v>
      </c>
      <c r="D27" s="91">
        <f t="shared" si="0"/>
        <v>1141</v>
      </c>
      <c r="E27" s="109">
        <f t="shared" si="1"/>
        <v>23.22524101665206</v>
      </c>
      <c r="F27" s="96">
        <f>(D27*100)/$D$54</f>
        <v>0.61902875960959414</v>
      </c>
    </row>
    <row r="28" spans="1:6">
      <c r="A28" s="84" t="s">
        <v>107</v>
      </c>
      <c r="B28" s="113">
        <v>1459</v>
      </c>
      <c r="C28" s="91">
        <v>531</v>
      </c>
      <c r="D28" s="91">
        <f t="shared" si="0"/>
        <v>1990</v>
      </c>
      <c r="E28" s="109">
        <f t="shared" si="1"/>
        <v>73.316582914572862</v>
      </c>
      <c r="F28" s="96">
        <f t="shared" si="2"/>
        <v>1.0796382398098969</v>
      </c>
    </row>
    <row r="29" spans="1:6">
      <c r="A29" s="84" t="s">
        <v>108</v>
      </c>
      <c r="B29" s="113">
        <v>325</v>
      </c>
      <c r="C29" s="91">
        <v>438</v>
      </c>
      <c r="D29" s="91">
        <f t="shared" si="0"/>
        <v>763</v>
      </c>
      <c r="E29" s="109">
        <f t="shared" si="1"/>
        <v>42.595019659239846</v>
      </c>
      <c r="F29" s="96">
        <f t="shared" si="2"/>
        <v>0.41395174722359362</v>
      </c>
    </row>
    <row r="30" spans="1:6">
      <c r="A30" s="83" t="s">
        <v>109</v>
      </c>
      <c r="B30" s="113">
        <v>332</v>
      </c>
      <c r="C30" s="91">
        <v>1198</v>
      </c>
      <c r="D30" s="91">
        <f t="shared" si="0"/>
        <v>1530</v>
      </c>
      <c r="E30" s="109">
        <f t="shared" si="1"/>
        <v>21.699346405228759</v>
      </c>
      <c r="F30" s="96">
        <f t="shared" si="2"/>
        <v>0.83007362156238307</v>
      </c>
    </row>
    <row r="31" spans="1:6">
      <c r="A31" s="84" t="s">
        <v>110</v>
      </c>
      <c r="B31" s="113">
        <v>354</v>
      </c>
      <c r="C31" s="91">
        <v>717</v>
      </c>
      <c r="D31" s="91">
        <f t="shared" si="0"/>
        <v>1071</v>
      </c>
      <c r="E31" s="109">
        <f t="shared" si="1"/>
        <v>33.05322128851541</v>
      </c>
      <c r="F31" s="96">
        <f t="shared" si="2"/>
        <v>0.58105153509366814</v>
      </c>
    </row>
    <row r="32" spans="1:6">
      <c r="A32" s="83" t="s">
        <v>111</v>
      </c>
      <c r="B32" s="113">
        <v>137</v>
      </c>
      <c r="C32" s="91">
        <v>501</v>
      </c>
      <c r="D32" s="91">
        <f t="shared" si="0"/>
        <v>638</v>
      </c>
      <c r="E32" s="109">
        <f t="shared" si="1"/>
        <v>21.473354231974923</v>
      </c>
      <c r="F32" s="96">
        <f t="shared" si="2"/>
        <v>0.34613527487372575</v>
      </c>
    </row>
    <row r="33" spans="1:6">
      <c r="A33" s="84" t="s">
        <v>112</v>
      </c>
      <c r="B33" s="113">
        <v>12687</v>
      </c>
      <c r="C33" s="91">
        <v>26208</v>
      </c>
      <c r="D33" s="91">
        <f t="shared" si="0"/>
        <v>38895</v>
      </c>
      <c r="E33" s="109">
        <f t="shared" si="1"/>
        <v>32.618588507520244</v>
      </c>
      <c r="F33" s="96">
        <f t="shared" si="2"/>
        <v>21.101773536384894</v>
      </c>
    </row>
    <row r="34" spans="1:6">
      <c r="A34" s="84" t="s">
        <v>113</v>
      </c>
      <c r="B34" s="113">
        <v>10</v>
      </c>
      <c r="C34" s="91">
        <v>462</v>
      </c>
      <c r="D34" s="91">
        <f t="shared" si="0"/>
        <v>472</v>
      </c>
      <c r="E34" s="109">
        <f t="shared" si="1"/>
        <v>2.1186440677966103</v>
      </c>
      <c r="F34" s="96">
        <f t="shared" si="2"/>
        <v>0.25607499959310115</v>
      </c>
    </row>
    <row r="35" spans="1:6">
      <c r="A35" s="84" t="s">
        <v>114</v>
      </c>
      <c r="B35" s="113">
        <v>1422</v>
      </c>
      <c r="C35" s="91">
        <v>1638</v>
      </c>
      <c r="D35" s="91">
        <f t="shared" si="0"/>
        <v>3060</v>
      </c>
      <c r="E35" s="109">
        <f t="shared" si="1"/>
        <v>46.470588235294116</v>
      </c>
      <c r="F35" s="96">
        <f t="shared" si="2"/>
        <v>1.6601472431247661</v>
      </c>
    </row>
    <row r="36" spans="1:6">
      <c r="A36" s="84" t="s">
        <v>115</v>
      </c>
      <c r="B36" s="113">
        <v>1611</v>
      </c>
      <c r="C36" s="91">
        <v>3245</v>
      </c>
      <c r="D36" s="91">
        <f t="shared" si="0"/>
        <v>4856</v>
      </c>
      <c r="E36" s="109">
        <f t="shared" si="1"/>
        <v>33.175453047775946</v>
      </c>
      <c r="F36" s="96">
        <f t="shared" si="2"/>
        <v>2.6345343178476681</v>
      </c>
    </row>
    <row r="37" spans="1:6">
      <c r="A37" s="84" t="s">
        <v>116</v>
      </c>
      <c r="B37" s="113">
        <v>376</v>
      </c>
      <c r="C37" s="91">
        <v>750</v>
      </c>
      <c r="D37" s="91">
        <f t="shared" si="0"/>
        <v>1126</v>
      </c>
      <c r="E37" s="109">
        <f t="shared" si="1"/>
        <v>33.392539964476022</v>
      </c>
      <c r="F37" s="96">
        <f t="shared" si="2"/>
        <v>0.61089078292761001</v>
      </c>
    </row>
    <row r="38" spans="1:6">
      <c r="A38" s="83" t="s">
        <v>117</v>
      </c>
      <c r="B38" s="113">
        <v>282</v>
      </c>
      <c r="C38" s="91">
        <v>2265</v>
      </c>
      <c r="D38" s="91">
        <f t="shared" si="0"/>
        <v>2547</v>
      </c>
      <c r="E38" s="109">
        <f t="shared" si="1"/>
        <v>11.071849234393405</v>
      </c>
      <c r="F38" s="96">
        <f t="shared" si="2"/>
        <v>1.3818284406009083</v>
      </c>
    </row>
    <row r="39" spans="1:6">
      <c r="A39" s="83" t="s">
        <v>118</v>
      </c>
      <c r="B39" s="113">
        <v>41</v>
      </c>
      <c r="C39" s="91">
        <v>1029</v>
      </c>
      <c r="D39" s="91">
        <f t="shared" si="0"/>
        <v>1070</v>
      </c>
      <c r="E39" s="109">
        <f t="shared" si="1"/>
        <v>3.8317757009345796</v>
      </c>
      <c r="F39" s="96">
        <f t="shared" si="2"/>
        <v>0.58050900331486921</v>
      </c>
    </row>
    <row r="40" spans="1:6">
      <c r="A40" s="84" t="s">
        <v>119</v>
      </c>
      <c r="B40" s="113">
        <v>36</v>
      </c>
      <c r="C40" s="91">
        <v>132</v>
      </c>
      <c r="D40" s="91">
        <f t="shared" si="0"/>
        <v>168</v>
      </c>
      <c r="E40" s="109">
        <f t="shared" si="1"/>
        <v>21.428571428571427</v>
      </c>
      <c r="F40" s="96">
        <f t="shared" si="2"/>
        <v>9.1145338838222442E-2</v>
      </c>
    </row>
    <row r="41" spans="1:6">
      <c r="A41" s="84" t="s">
        <v>120</v>
      </c>
      <c r="B41" s="113">
        <v>284</v>
      </c>
      <c r="C41" s="91">
        <v>816</v>
      </c>
      <c r="D41" s="91">
        <f t="shared" si="0"/>
        <v>1100</v>
      </c>
      <c r="E41" s="109">
        <f t="shared" si="1"/>
        <v>25.818181818181817</v>
      </c>
      <c r="F41" s="96">
        <f t="shared" si="2"/>
        <v>0.59678495667883746</v>
      </c>
    </row>
    <row r="42" spans="1:6">
      <c r="A42" s="84" t="s">
        <v>121</v>
      </c>
      <c r="B42" s="113"/>
      <c r="C42" s="91"/>
      <c r="D42" s="91">
        <f t="shared" si="0"/>
        <v>0</v>
      </c>
      <c r="E42" s="109" t="e">
        <f t="shared" si="1"/>
        <v>#DIV/0!</v>
      </c>
      <c r="F42" s="96">
        <f t="shared" si="2"/>
        <v>0</v>
      </c>
    </row>
    <row r="43" spans="1:6">
      <c r="A43" s="84" t="s">
        <v>122</v>
      </c>
      <c r="B43" s="113">
        <v>409</v>
      </c>
      <c r="C43" s="91">
        <v>1769</v>
      </c>
      <c r="D43" s="91">
        <f t="shared" si="0"/>
        <v>2178</v>
      </c>
      <c r="E43" s="109">
        <f t="shared" si="1"/>
        <v>18.778696051423324</v>
      </c>
      <c r="F43" s="96">
        <f t="shared" si="2"/>
        <v>1.1816342142240981</v>
      </c>
    </row>
    <row r="44" spans="1:6">
      <c r="A44" s="84" t="s">
        <v>123</v>
      </c>
      <c r="B44" s="113">
        <v>31</v>
      </c>
      <c r="C44" s="91">
        <v>232</v>
      </c>
      <c r="D44" s="91">
        <f t="shared" si="0"/>
        <v>263</v>
      </c>
      <c r="E44" s="109">
        <f t="shared" si="1"/>
        <v>11.787072243346008</v>
      </c>
      <c r="F44" s="96">
        <f t="shared" si="2"/>
        <v>0.14268585782412205</v>
      </c>
    </row>
    <row r="45" spans="1:6">
      <c r="A45" s="84" t="s">
        <v>124</v>
      </c>
      <c r="B45" s="113">
        <v>699</v>
      </c>
      <c r="C45" s="91">
        <v>3311</v>
      </c>
      <c r="D45" s="91">
        <f t="shared" si="0"/>
        <v>4010</v>
      </c>
      <c r="E45" s="109">
        <f t="shared" si="1"/>
        <v>17.431421446384039</v>
      </c>
      <c r="F45" s="96">
        <f t="shared" si="2"/>
        <v>2.1755524329837619</v>
      </c>
    </row>
    <row r="46" spans="1:6">
      <c r="A46" s="84" t="s">
        <v>125</v>
      </c>
      <c r="B46" s="113">
        <v>198</v>
      </c>
      <c r="C46" s="91">
        <v>336</v>
      </c>
      <c r="D46" s="91">
        <f t="shared" si="0"/>
        <v>534</v>
      </c>
      <c r="E46" s="109">
        <f t="shared" si="1"/>
        <v>37.078651685393261</v>
      </c>
      <c r="F46" s="96">
        <f t="shared" si="2"/>
        <v>0.28971196987863562</v>
      </c>
    </row>
    <row r="47" spans="1:6">
      <c r="A47" s="84" t="s">
        <v>126</v>
      </c>
      <c r="B47" s="113">
        <v>315</v>
      </c>
      <c r="C47" s="91">
        <v>908</v>
      </c>
      <c r="D47" s="91">
        <f t="shared" si="0"/>
        <v>1223</v>
      </c>
      <c r="E47" s="109">
        <f t="shared" si="1"/>
        <v>25.756336876533116</v>
      </c>
      <c r="F47" s="96">
        <f t="shared" si="2"/>
        <v>0.66351636547110748</v>
      </c>
    </row>
    <row r="48" spans="1:6">
      <c r="A48" s="83" t="s">
        <v>127</v>
      </c>
      <c r="B48" s="113">
        <v>45</v>
      </c>
      <c r="C48" s="91">
        <v>370</v>
      </c>
      <c r="D48" s="91">
        <f t="shared" si="0"/>
        <v>415</v>
      </c>
      <c r="E48" s="109">
        <f>(B48*100)/D48</f>
        <v>10.843373493975903</v>
      </c>
      <c r="F48" s="96">
        <f t="shared" si="2"/>
        <v>0.22515068820156139</v>
      </c>
    </row>
    <row r="49" spans="1:6">
      <c r="A49" s="83" t="s">
        <v>128</v>
      </c>
      <c r="B49" s="113">
        <v>188</v>
      </c>
      <c r="C49" s="91">
        <v>766</v>
      </c>
      <c r="D49" s="91">
        <f t="shared" si="0"/>
        <v>954</v>
      </c>
      <c r="E49" s="109">
        <f t="shared" si="1"/>
        <v>19.70649895178197</v>
      </c>
      <c r="F49" s="96">
        <f t="shared" si="2"/>
        <v>0.51757531697419179</v>
      </c>
    </row>
    <row r="50" spans="1:6">
      <c r="A50" s="83" t="s">
        <v>129</v>
      </c>
      <c r="B50" s="113">
        <v>295</v>
      </c>
      <c r="C50" s="91">
        <v>2590</v>
      </c>
      <c r="D50" s="91">
        <f t="shared" si="0"/>
        <v>2885</v>
      </c>
      <c r="E50" s="109">
        <f t="shared" si="1"/>
        <v>10.225303292894282</v>
      </c>
      <c r="F50" s="96">
        <f t="shared" si="2"/>
        <v>1.5652041818349509</v>
      </c>
    </row>
    <row r="51" spans="1:6">
      <c r="A51" s="83" t="s">
        <v>130</v>
      </c>
      <c r="B51" s="113"/>
      <c r="C51" s="91"/>
      <c r="D51" s="152">
        <f t="shared" si="0"/>
        <v>0</v>
      </c>
      <c r="E51" s="109" t="e">
        <f t="shared" si="1"/>
        <v>#DIV/0!</v>
      </c>
      <c r="F51" s="96">
        <f t="shared" si="2"/>
        <v>0</v>
      </c>
    </row>
    <row r="52" spans="1:6">
      <c r="A52" s="84" t="s">
        <v>131</v>
      </c>
      <c r="B52" s="113">
        <v>315</v>
      </c>
      <c r="C52" s="91">
        <v>1100</v>
      </c>
      <c r="D52" s="91">
        <f t="shared" si="0"/>
        <v>1415</v>
      </c>
      <c r="E52" s="109">
        <f t="shared" si="1"/>
        <v>22.261484098939928</v>
      </c>
      <c r="F52" s="96">
        <f t="shared" si="2"/>
        <v>0.76768246700050458</v>
      </c>
    </row>
    <row r="53" spans="1:6">
      <c r="A53" s="84" t="s">
        <v>132</v>
      </c>
      <c r="B53" s="113">
        <v>1485</v>
      </c>
      <c r="C53" s="91">
        <v>1240</v>
      </c>
      <c r="D53" s="91">
        <f t="shared" si="0"/>
        <v>2725</v>
      </c>
      <c r="E53" s="109">
        <f t="shared" si="1"/>
        <v>54.4954128440367</v>
      </c>
      <c r="F53" s="96">
        <f t="shared" si="2"/>
        <v>1.4783990972271202</v>
      </c>
    </row>
    <row r="54" spans="1:6">
      <c r="A54" s="52"/>
      <c r="B54" s="108">
        <f>SUM(B6:B53)</f>
        <v>45684</v>
      </c>
      <c r="C54" s="108">
        <f>SUM(C6:C53)</f>
        <v>138637</v>
      </c>
      <c r="D54" s="108">
        <f>SUM(D6:D53)</f>
        <v>184321</v>
      </c>
      <c r="E54" s="111">
        <f>(B54*100)/D54</f>
        <v>24.785021782650919</v>
      </c>
      <c r="F54" s="115"/>
    </row>
  </sheetData>
  <mergeCells count="2">
    <mergeCell ref="A2:F2"/>
    <mergeCell ref="A3:F3"/>
  </mergeCells>
  <pageMargins left="0.7" right="0.7" top="0.75" bottom="0.75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view="pageBreakPreview" topLeftCell="A10" zoomScaleNormal="100" zoomScaleSheetLayoutView="100" workbookViewId="0">
      <selection activeCell="D12" sqref="D12"/>
    </sheetView>
  </sheetViews>
  <sheetFormatPr defaultColWidth="11.42578125" defaultRowHeight="12"/>
  <cols>
    <col min="1" max="1" width="5" style="1" customWidth="1"/>
    <col min="2" max="2" width="19.7109375" style="1" bestFit="1" customWidth="1"/>
    <col min="3" max="3" width="8.28515625" style="1" bestFit="1" customWidth="1"/>
    <col min="4" max="4" width="9.140625" style="11" bestFit="1" customWidth="1"/>
    <col min="5" max="5" width="7.42578125" style="1" bestFit="1" customWidth="1"/>
    <col min="6" max="6" width="12.42578125" style="1" bestFit="1" customWidth="1"/>
    <col min="7" max="7" width="10.85546875" style="1" bestFit="1" customWidth="1"/>
    <col min="8" max="16384" width="11.42578125" style="1"/>
  </cols>
  <sheetData>
    <row r="1" spans="2:7">
      <c r="D1" s="2"/>
    </row>
    <row r="2" spans="2:7" ht="15.75" customHeight="1">
      <c r="B2" s="155" t="s">
        <v>50</v>
      </c>
      <c r="C2" s="155"/>
      <c r="D2" s="155"/>
      <c r="E2" s="155"/>
      <c r="F2" s="155"/>
      <c r="G2" s="155"/>
    </row>
    <row r="3" spans="2:7" s="3" customFormat="1" ht="15.75" customHeight="1">
      <c r="B3" s="156" t="s">
        <v>62</v>
      </c>
      <c r="C3" s="156"/>
      <c r="D3" s="156"/>
      <c r="E3" s="156"/>
      <c r="F3" s="156"/>
      <c r="G3" s="156"/>
    </row>
    <row r="4" spans="2:7" s="3" customFormat="1" ht="15.75" customHeight="1">
      <c r="B4" s="4"/>
      <c r="C4" s="4"/>
      <c r="D4" s="4"/>
      <c r="E4" s="4"/>
    </row>
    <row r="5" spans="2:7" ht="12.75" thickBot="1">
      <c r="D5" s="2"/>
    </row>
    <row r="6" spans="2:7">
      <c r="B6" s="19"/>
      <c r="C6" s="158">
        <v>2005</v>
      </c>
      <c r="D6" s="158"/>
      <c r="E6" s="158"/>
      <c r="F6" s="158"/>
      <c r="G6" s="159"/>
    </row>
    <row r="7" spans="2:7" ht="12.75" thickBot="1">
      <c r="B7" s="20" t="s">
        <v>71</v>
      </c>
      <c r="C7" s="21" t="s">
        <v>72</v>
      </c>
      <c r="D7" s="21" t="s">
        <v>73</v>
      </c>
      <c r="E7" s="21" t="s">
        <v>74</v>
      </c>
      <c r="F7" s="21" t="s">
        <v>75</v>
      </c>
      <c r="G7" s="22" t="s">
        <v>76</v>
      </c>
    </row>
    <row r="8" spans="2:7">
      <c r="B8" s="40" t="s">
        <v>0</v>
      </c>
      <c r="C8" s="28">
        <v>372</v>
      </c>
      <c r="D8" s="29">
        <v>2634</v>
      </c>
      <c r="E8" s="29">
        <f>SUM(C8:D8)</f>
        <v>3006</v>
      </c>
      <c r="F8" s="30">
        <f>C8*100/E8</f>
        <v>12.375249500998004</v>
      </c>
      <c r="G8" s="31">
        <f>E8*100/$E$56</f>
        <v>1.9649242072648594</v>
      </c>
    </row>
    <row r="9" spans="2:7">
      <c r="B9" s="40" t="s">
        <v>1</v>
      </c>
      <c r="C9" s="28">
        <v>254</v>
      </c>
      <c r="D9" s="29">
        <v>1452</v>
      </c>
      <c r="E9" s="29">
        <f t="shared" ref="E9:E54" si="0">SUM(C9:D9)</f>
        <v>1706</v>
      </c>
      <c r="F9" s="30">
        <f t="shared" ref="F9:F55" si="1">C9*100/E9</f>
        <v>14.88862837045721</v>
      </c>
      <c r="G9" s="31">
        <f t="shared" ref="G9:G55" si="2">E9*100/$E$56</f>
        <v>1.1151565860258983</v>
      </c>
    </row>
    <row r="10" spans="2:7">
      <c r="B10" s="40" t="s">
        <v>2</v>
      </c>
      <c r="C10" s="28">
        <v>454</v>
      </c>
      <c r="D10" s="29">
        <v>1709</v>
      </c>
      <c r="E10" s="29">
        <f t="shared" si="0"/>
        <v>2163</v>
      </c>
      <c r="F10" s="30">
        <f t="shared" si="1"/>
        <v>20.989366620434581</v>
      </c>
      <c r="G10" s="31">
        <f t="shared" si="2"/>
        <v>1.4138825882614408</v>
      </c>
    </row>
    <row r="11" spans="2:7">
      <c r="B11" s="40" t="s">
        <v>3</v>
      </c>
      <c r="C11" s="28">
        <v>24</v>
      </c>
      <c r="D11" s="29">
        <v>613</v>
      </c>
      <c r="E11" s="29">
        <f t="shared" si="0"/>
        <v>637</v>
      </c>
      <c r="F11" s="30">
        <f t="shared" si="1"/>
        <v>3.7676609105180532</v>
      </c>
      <c r="G11" s="31">
        <f t="shared" si="2"/>
        <v>0.41638613440709099</v>
      </c>
    </row>
    <row r="12" spans="2:7">
      <c r="B12" s="40" t="s">
        <v>4</v>
      </c>
      <c r="C12" s="28">
        <v>153</v>
      </c>
      <c r="D12" s="29">
        <v>199</v>
      </c>
      <c r="E12" s="29">
        <f t="shared" si="0"/>
        <v>352</v>
      </c>
      <c r="F12" s="30">
        <f t="shared" si="1"/>
        <v>43.465909090909093</v>
      </c>
      <c r="G12" s="31">
        <f t="shared" si="2"/>
        <v>0.23009092513547258</v>
      </c>
    </row>
    <row r="13" spans="2:7">
      <c r="B13" s="40" t="s">
        <v>5</v>
      </c>
      <c r="C13" s="28">
        <v>3305</v>
      </c>
      <c r="D13" s="29">
        <v>4923</v>
      </c>
      <c r="E13" s="29">
        <f t="shared" si="0"/>
        <v>8228</v>
      </c>
      <c r="F13" s="30">
        <f t="shared" si="1"/>
        <v>40.167719980554203</v>
      </c>
      <c r="G13" s="31">
        <f t="shared" si="2"/>
        <v>5.3783753750416716</v>
      </c>
    </row>
    <row r="14" spans="2:7">
      <c r="B14" s="40" t="s">
        <v>6</v>
      </c>
      <c r="C14" s="28">
        <v>970</v>
      </c>
      <c r="D14" s="29">
        <v>2128</v>
      </c>
      <c r="E14" s="29">
        <f t="shared" si="0"/>
        <v>3098</v>
      </c>
      <c r="F14" s="30">
        <f t="shared" si="1"/>
        <v>31.310522918011621</v>
      </c>
      <c r="G14" s="31">
        <f t="shared" si="2"/>
        <v>2.0250616081525399</v>
      </c>
    </row>
    <row r="15" spans="2:7">
      <c r="B15" s="40" t="s">
        <v>7</v>
      </c>
      <c r="C15" s="28">
        <v>186</v>
      </c>
      <c r="D15" s="29">
        <v>135</v>
      </c>
      <c r="E15" s="29">
        <f t="shared" si="0"/>
        <v>321</v>
      </c>
      <c r="F15" s="30">
        <f t="shared" si="1"/>
        <v>57.943925233644862</v>
      </c>
      <c r="G15" s="31">
        <f t="shared" si="2"/>
        <v>0.20982723570592812</v>
      </c>
    </row>
    <row r="16" spans="2:7">
      <c r="B16" s="40" t="s">
        <v>8</v>
      </c>
      <c r="C16" s="28">
        <v>569</v>
      </c>
      <c r="D16" s="29">
        <v>3829</v>
      </c>
      <c r="E16" s="29">
        <f t="shared" si="0"/>
        <v>4398</v>
      </c>
      <c r="F16" s="30">
        <f t="shared" si="1"/>
        <v>12.937698954070031</v>
      </c>
      <c r="G16" s="31">
        <f t="shared" si="2"/>
        <v>2.874829229391501</v>
      </c>
    </row>
    <row r="17" spans="2:7">
      <c r="B17" s="40" t="s">
        <v>9</v>
      </c>
      <c r="C17" s="28">
        <v>12</v>
      </c>
      <c r="D17" s="29">
        <v>199</v>
      </c>
      <c r="E17" s="29">
        <f t="shared" si="0"/>
        <v>211</v>
      </c>
      <c r="F17" s="30">
        <f t="shared" si="1"/>
        <v>5.6872037914691944</v>
      </c>
      <c r="G17" s="31">
        <f t="shared" si="2"/>
        <v>0.13792382160109293</v>
      </c>
    </row>
    <row r="18" spans="2:7">
      <c r="B18" s="40" t="s">
        <v>10</v>
      </c>
      <c r="C18" s="28">
        <v>157</v>
      </c>
      <c r="D18" s="29">
        <v>19411</v>
      </c>
      <c r="E18" s="29">
        <f t="shared" si="0"/>
        <v>19568</v>
      </c>
      <c r="F18" s="30">
        <f t="shared" si="1"/>
        <v>0.80233033524121011</v>
      </c>
      <c r="G18" s="31">
        <f t="shared" si="2"/>
        <v>12.790963701849225</v>
      </c>
    </row>
    <row r="19" spans="2:7">
      <c r="B19" s="40" t="s">
        <v>11</v>
      </c>
      <c r="C19" s="28">
        <v>52</v>
      </c>
      <c r="D19" s="29">
        <v>5736</v>
      </c>
      <c r="E19" s="29">
        <f t="shared" si="0"/>
        <v>5788</v>
      </c>
      <c r="F19" s="30">
        <f t="shared" si="1"/>
        <v>0.89841050449205251</v>
      </c>
      <c r="G19" s="31">
        <f t="shared" si="2"/>
        <v>3.7834269167162367</v>
      </c>
    </row>
    <row r="20" spans="2:7">
      <c r="B20" s="40" t="s">
        <v>12</v>
      </c>
      <c r="C20" s="28">
        <v>22</v>
      </c>
      <c r="D20" s="29">
        <v>565</v>
      </c>
      <c r="E20" s="29">
        <f t="shared" si="0"/>
        <v>587</v>
      </c>
      <c r="F20" s="30">
        <f t="shared" si="1"/>
        <v>3.7478705281090288</v>
      </c>
      <c r="G20" s="31">
        <f t="shared" si="2"/>
        <v>0.38370276435943862</v>
      </c>
    </row>
    <row r="21" spans="2:7">
      <c r="B21" s="40" t="s">
        <v>13</v>
      </c>
      <c r="C21" s="28">
        <v>93</v>
      </c>
      <c r="D21" s="29">
        <v>305</v>
      </c>
      <c r="E21" s="29">
        <f t="shared" si="0"/>
        <v>398</v>
      </c>
      <c r="F21" s="30">
        <f t="shared" si="1"/>
        <v>23.366834170854272</v>
      </c>
      <c r="G21" s="31">
        <f t="shared" si="2"/>
        <v>0.26015962557931271</v>
      </c>
    </row>
    <row r="22" spans="2:7">
      <c r="B22" s="40" t="s">
        <v>52</v>
      </c>
      <c r="C22" s="28">
        <v>84</v>
      </c>
      <c r="D22" s="29">
        <v>259</v>
      </c>
      <c r="E22" s="29">
        <f t="shared" si="0"/>
        <v>343</v>
      </c>
      <c r="F22" s="30">
        <f t="shared" si="1"/>
        <v>24.489795918367346</v>
      </c>
      <c r="G22" s="31">
        <f t="shared" si="2"/>
        <v>0.22420791852689514</v>
      </c>
    </row>
    <row r="23" spans="2:7">
      <c r="B23" s="40" t="s">
        <v>15</v>
      </c>
      <c r="C23" s="28">
        <v>82</v>
      </c>
      <c r="D23" s="29">
        <v>82</v>
      </c>
      <c r="E23" s="29">
        <f t="shared" si="0"/>
        <v>164</v>
      </c>
      <c r="F23" s="30">
        <f t="shared" si="1"/>
        <v>50</v>
      </c>
      <c r="G23" s="31">
        <f t="shared" si="2"/>
        <v>0.10720145375629972</v>
      </c>
    </row>
    <row r="24" spans="2:7">
      <c r="B24" s="40" t="s">
        <v>16</v>
      </c>
      <c r="C24" s="28">
        <v>32</v>
      </c>
      <c r="D24" s="29">
        <v>45</v>
      </c>
      <c r="E24" s="29">
        <f t="shared" si="0"/>
        <v>77</v>
      </c>
      <c r="F24" s="30">
        <f t="shared" si="1"/>
        <v>41.558441558441558</v>
      </c>
      <c r="G24" s="31">
        <f t="shared" si="2"/>
        <v>5.0332389873384627E-2</v>
      </c>
    </row>
    <row r="25" spans="2:7">
      <c r="B25" s="40" t="s">
        <v>17</v>
      </c>
      <c r="C25" s="28">
        <v>1967</v>
      </c>
      <c r="D25" s="29">
        <v>20242</v>
      </c>
      <c r="E25" s="29">
        <f t="shared" si="0"/>
        <v>22209</v>
      </c>
      <c r="F25" s="30">
        <f t="shared" si="1"/>
        <v>8.8567697780179202</v>
      </c>
      <c r="G25" s="31">
        <f t="shared" si="2"/>
        <v>14.517299307766223</v>
      </c>
    </row>
    <row r="26" spans="2:7">
      <c r="B26" s="40" t="s">
        <v>18</v>
      </c>
      <c r="C26" s="28">
        <v>396</v>
      </c>
      <c r="D26" s="29">
        <v>2332</v>
      </c>
      <c r="E26" s="29">
        <f t="shared" si="0"/>
        <v>2728</v>
      </c>
      <c r="F26" s="30">
        <f t="shared" si="1"/>
        <v>14.516129032258064</v>
      </c>
      <c r="G26" s="31">
        <f t="shared" si="2"/>
        <v>1.7832046697999124</v>
      </c>
    </row>
    <row r="27" spans="2:7">
      <c r="B27" s="40" t="s">
        <v>19</v>
      </c>
      <c r="C27" s="28">
        <v>267</v>
      </c>
      <c r="D27" s="29">
        <v>20</v>
      </c>
      <c r="E27" s="29">
        <f t="shared" si="0"/>
        <v>287</v>
      </c>
      <c r="F27" s="30">
        <f t="shared" si="1"/>
        <v>93.031358885017426</v>
      </c>
      <c r="G27" s="31">
        <f t="shared" si="2"/>
        <v>0.1876025440735245</v>
      </c>
    </row>
    <row r="28" spans="2:7">
      <c r="B28" s="40" t="s">
        <v>20</v>
      </c>
      <c r="C28" s="28">
        <v>5747</v>
      </c>
      <c r="D28" s="29">
        <v>10625</v>
      </c>
      <c r="E28" s="29">
        <f t="shared" si="0"/>
        <v>16372</v>
      </c>
      <c r="F28" s="30">
        <f t="shared" si="1"/>
        <v>35.102614219398973</v>
      </c>
      <c r="G28" s="31">
        <f t="shared" si="2"/>
        <v>10.701842688403287</v>
      </c>
    </row>
    <row r="29" spans="2:7">
      <c r="B29" s="40" t="s">
        <v>21</v>
      </c>
      <c r="C29" s="28">
        <v>7</v>
      </c>
      <c r="D29" s="29">
        <v>116</v>
      </c>
      <c r="E29" s="29">
        <f t="shared" si="0"/>
        <v>123</v>
      </c>
      <c r="F29" s="30">
        <f t="shared" si="1"/>
        <v>5.691056910569106</v>
      </c>
      <c r="G29" s="31">
        <f t="shared" si="2"/>
        <v>8.0401090317224796E-2</v>
      </c>
    </row>
    <row r="30" spans="2:7">
      <c r="B30" s="40" t="s">
        <v>48</v>
      </c>
      <c r="C30" s="28">
        <v>131</v>
      </c>
      <c r="D30" s="29">
        <v>1073</v>
      </c>
      <c r="E30" s="29">
        <f t="shared" si="0"/>
        <v>1204</v>
      </c>
      <c r="F30" s="30">
        <f t="shared" si="1"/>
        <v>10.880398671096346</v>
      </c>
      <c r="G30" s="31">
        <f t="shared" si="2"/>
        <v>0.78701555074746865</v>
      </c>
    </row>
    <row r="31" spans="2:7">
      <c r="B31" s="40" t="s">
        <v>22</v>
      </c>
      <c r="C31" s="28">
        <v>923</v>
      </c>
      <c r="D31" s="29">
        <v>716</v>
      </c>
      <c r="E31" s="29">
        <f t="shared" si="0"/>
        <v>1639</v>
      </c>
      <c r="F31" s="30">
        <f t="shared" si="1"/>
        <v>56.314826113483832</v>
      </c>
      <c r="G31" s="31">
        <f t="shared" si="2"/>
        <v>1.0713608701620441</v>
      </c>
    </row>
    <row r="32" spans="2:7">
      <c r="B32" s="40" t="s">
        <v>23</v>
      </c>
      <c r="C32" s="28">
        <v>212</v>
      </c>
      <c r="D32" s="29">
        <v>457</v>
      </c>
      <c r="E32" s="29">
        <f t="shared" si="0"/>
        <v>669</v>
      </c>
      <c r="F32" s="30">
        <f t="shared" si="1"/>
        <v>31.689088191330345</v>
      </c>
      <c r="G32" s="31">
        <f t="shared" si="2"/>
        <v>0.43730349123758849</v>
      </c>
    </row>
    <row r="33" spans="2:7">
      <c r="B33" s="40" t="s">
        <v>24</v>
      </c>
      <c r="C33" s="28">
        <v>199</v>
      </c>
      <c r="D33" s="29">
        <v>941</v>
      </c>
      <c r="E33" s="29">
        <f t="shared" si="0"/>
        <v>1140</v>
      </c>
      <c r="F33" s="30">
        <f t="shared" si="1"/>
        <v>17.456140350877192</v>
      </c>
      <c r="G33" s="31">
        <f t="shared" si="2"/>
        <v>0.74518083708647365</v>
      </c>
    </row>
    <row r="34" spans="2:7">
      <c r="B34" s="40" t="s">
        <v>25</v>
      </c>
      <c r="C34" s="28">
        <v>258</v>
      </c>
      <c r="D34" s="29">
        <v>834</v>
      </c>
      <c r="E34" s="29">
        <f t="shared" si="0"/>
        <v>1092</v>
      </c>
      <c r="F34" s="30">
        <f t="shared" si="1"/>
        <v>23.626373626373628</v>
      </c>
      <c r="G34" s="31">
        <f t="shared" si="2"/>
        <v>0.71380480184072737</v>
      </c>
    </row>
    <row r="35" spans="2:7">
      <c r="B35" s="40" t="s">
        <v>26</v>
      </c>
      <c r="C35" s="28">
        <v>36</v>
      </c>
      <c r="D35" s="29">
        <v>165</v>
      </c>
      <c r="E35" s="29">
        <f t="shared" si="0"/>
        <v>201</v>
      </c>
      <c r="F35" s="30">
        <f t="shared" si="1"/>
        <v>17.910447761194028</v>
      </c>
      <c r="G35" s="31">
        <f t="shared" si="2"/>
        <v>0.13138714759156245</v>
      </c>
    </row>
    <row r="36" spans="2:7">
      <c r="B36" s="40" t="s">
        <v>27</v>
      </c>
      <c r="C36" s="28">
        <v>8508</v>
      </c>
      <c r="D36" s="29">
        <v>23710</v>
      </c>
      <c r="E36" s="29">
        <f t="shared" si="0"/>
        <v>32218</v>
      </c>
      <c r="F36" s="30">
        <f t="shared" si="1"/>
        <v>26.407598237010365</v>
      </c>
      <c r="G36" s="31">
        <f t="shared" si="2"/>
        <v>21.059856323905272</v>
      </c>
    </row>
    <row r="37" spans="2:7">
      <c r="B37" s="40" t="s">
        <v>28</v>
      </c>
      <c r="C37" s="28">
        <v>3</v>
      </c>
      <c r="D37" s="29">
        <v>321</v>
      </c>
      <c r="E37" s="29">
        <f t="shared" si="0"/>
        <v>324</v>
      </c>
      <c r="F37" s="30">
        <f t="shared" si="1"/>
        <v>0.92592592592592593</v>
      </c>
      <c r="G37" s="31">
        <f t="shared" si="2"/>
        <v>0.21178823790878726</v>
      </c>
    </row>
    <row r="38" spans="2:7">
      <c r="B38" s="40" t="s">
        <v>29</v>
      </c>
      <c r="C38" s="28">
        <v>443</v>
      </c>
      <c r="D38" s="29">
        <v>829</v>
      </c>
      <c r="E38" s="29">
        <f t="shared" si="0"/>
        <v>1272</v>
      </c>
      <c r="F38" s="30">
        <f t="shared" si="1"/>
        <v>34.827044025157235</v>
      </c>
      <c r="G38" s="31">
        <f t="shared" si="2"/>
        <v>0.83146493401227584</v>
      </c>
    </row>
    <row r="39" spans="2:7">
      <c r="B39" s="40" t="s">
        <v>30</v>
      </c>
      <c r="C39" s="28">
        <v>211</v>
      </c>
      <c r="D39" s="29">
        <v>786</v>
      </c>
      <c r="E39" s="29">
        <f t="shared" si="0"/>
        <v>997</v>
      </c>
      <c r="F39" s="30">
        <f t="shared" si="1"/>
        <v>21.163490471414242</v>
      </c>
      <c r="G39" s="31">
        <f t="shared" si="2"/>
        <v>0.65170639875018788</v>
      </c>
    </row>
    <row r="40" spans="2:7">
      <c r="B40" s="40" t="s">
        <v>31</v>
      </c>
      <c r="C40" s="28">
        <v>58</v>
      </c>
      <c r="D40" s="29">
        <v>2429</v>
      </c>
      <c r="E40" s="29">
        <f t="shared" si="0"/>
        <v>2487</v>
      </c>
      <c r="F40" s="30">
        <f t="shared" si="1"/>
        <v>2.3321270607157216</v>
      </c>
      <c r="G40" s="31">
        <f t="shared" si="2"/>
        <v>1.625670826170228</v>
      </c>
    </row>
    <row r="41" spans="2:7">
      <c r="B41" s="40" t="s">
        <v>32</v>
      </c>
      <c r="C41" s="28"/>
      <c r="D41" s="29"/>
      <c r="E41" s="29">
        <v>3400</v>
      </c>
      <c r="F41" s="30">
        <f t="shared" si="1"/>
        <v>0</v>
      </c>
      <c r="G41" s="31">
        <f t="shared" si="2"/>
        <v>2.2224691632403601</v>
      </c>
    </row>
    <row r="42" spans="2:7">
      <c r="B42" s="40" t="s">
        <v>33</v>
      </c>
      <c r="C42" s="28">
        <v>48</v>
      </c>
      <c r="D42" s="29">
        <v>164</v>
      </c>
      <c r="E42" s="29">
        <f t="shared" si="0"/>
        <v>212</v>
      </c>
      <c r="F42" s="30">
        <f t="shared" si="1"/>
        <v>22.641509433962263</v>
      </c>
      <c r="G42" s="31">
        <f t="shared" si="2"/>
        <v>0.13857748900204597</v>
      </c>
    </row>
    <row r="43" spans="2:7">
      <c r="B43" s="40" t="s">
        <v>34</v>
      </c>
      <c r="C43" s="28">
        <v>123</v>
      </c>
      <c r="D43" s="29">
        <v>578</v>
      </c>
      <c r="E43" s="29">
        <f t="shared" si="0"/>
        <v>701</v>
      </c>
      <c r="F43" s="30">
        <f t="shared" si="1"/>
        <v>17.546362339514978</v>
      </c>
      <c r="G43" s="31">
        <f t="shared" si="2"/>
        <v>0.458220848068086</v>
      </c>
    </row>
    <row r="44" spans="2:7">
      <c r="B44" s="40" t="s">
        <v>35</v>
      </c>
      <c r="C44" s="28">
        <v>168</v>
      </c>
      <c r="D44" s="29">
        <v>1373</v>
      </c>
      <c r="E44" s="29">
        <f t="shared" si="0"/>
        <v>1541</v>
      </c>
      <c r="F44" s="30">
        <f t="shared" si="1"/>
        <v>10.902011680726801</v>
      </c>
      <c r="G44" s="31">
        <f t="shared" si="2"/>
        <v>1.0073014648686456</v>
      </c>
    </row>
    <row r="45" spans="2:7">
      <c r="B45" s="40" t="s">
        <v>36</v>
      </c>
      <c r="C45" s="28">
        <v>148</v>
      </c>
      <c r="D45" s="29">
        <v>1190</v>
      </c>
      <c r="E45" s="29">
        <f t="shared" si="0"/>
        <v>1338</v>
      </c>
      <c r="F45" s="30">
        <f t="shared" si="1"/>
        <v>11.061285500747385</v>
      </c>
      <c r="G45" s="31">
        <f t="shared" si="2"/>
        <v>0.87460698247517699</v>
      </c>
    </row>
    <row r="46" spans="2:7">
      <c r="B46" s="40" t="s">
        <v>37</v>
      </c>
      <c r="C46" s="28">
        <v>2</v>
      </c>
      <c r="D46" s="29">
        <v>86</v>
      </c>
      <c r="E46" s="29">
        <f t="shared" si="0"/>
        <v>88</v>
      </c>
      <c r="F46" s="30">
        <f t="shared" si="1"/>
        <v>2.2727272727272729</v>
      </c>
      <c r="G46" s="31">
        <f t="shared" si="2"/>
        <v>5.7522731283868145E-2</v>
      </c>
    </row>
    <row r="47" spans="2:7">
      <c r="B47" s="40" t="s">
        <v>38</v>
      </c>
      <c r="C47" s="28">
        <v>219</v>
      </c>
      <c r="D47" s="29">
        <v>1364</v>
      </c>
      <c r="E47" s="29">
        <f t="shared" si="0"/>
        <v>1583</v>
      </c>
      <c r="F47" s="30">
        <f t="shared" si="1"/>
        <v>13.834491471888819</v>
      </c>
      <c r="G47" s="31">
        <f t="shared" si="2"/>
        <v>1.0347554957086735</v>
      </c>
    </row>
    <row r="48" spans="2:7">
      <c r="B48" s="40" t="s">
        <v>39</v>
      </c>
      <c r="C48" s="28">
        <v>123</v>
      </c>
      <c r="D48" s="29">
        <v>494</v>
      </c>
      <c r="E48" s="29">
        <f t="shared" si="0"/>
        <v>617</v>
      </c>
      <c r="F48" s="30">
        <f t="shared" si="1"/>
        <v>19.935170178282011</v>
      </c>
      <c r="G48" s="31">
        <f t="shared" si="2"/>
        <v>0.40331278638803003</v>
      </c>
    </row>
    <row r="49" spans="2:7">
      <c r="B49" s="40" t="s">
        <v>40</v>
      </c>
      <c r="C49" s="28">
        <v>294</v>
      </c>
      <c r="D49" s="29">
        <v>892</v>
      </c>
      <c r="E49" s="29">
        <f t="shared" si="0"/>
        <v>1186</v>
      </c>
      <c r="F49" s="30">
        <f t="shared" si="1"/>
        <v>24.789207419898819</v>
      </c>
      <c r="G49" s="31">
        <f t="shared" si="2"/>
        <v>0.77524953753031378</v>
      </c>
    </row>
    <row r="50" spans="2:7">
      <c r="B50" s="40" t="s">
        <v>41</v>
      </c>
      <c r="C50" s="28"/>
      <c r="D50" s="29"/>
      <c r="E50" s="29">
        <f t="shared" si="0"/>
        <v>0</v>
      </c>
      <c r="F50" s="30"/>
      <c r="G50" s="31">
        <f t="shared" si="2"/>
        <v>0</v>
      </c>
    </row>
    <row r="51" spans="2:7">
      <c r="B51" s="40" t="s">
        <v>42</v>
      </c>
      <c r="C51" s="28">
        <v>96</v>
      </c>
      <c r="D51" s="29">
        <v>438</v>
      </c>
      <c r="E51" s="29">
        <f t="shared" si="0"/>
        <v>534</v>
      </c>
      <c r="F51" s="30">
        <f t="shared" si="1"/>
        <v>17.977528089887642</v>
      </c>
      <c r="G51" s="31">
        <f t="shared" si="2"/>
        <v>0.34905839210892714</v>
      </c>
    </row>
    <row r="52" spans="2:7">
      <c r="B52" s="40" t="s">
        <v>43</v>
      </c>
      <c r="C52" s="28">
        <v>179</v>
      </c>
      <c r="D52" s="29">
        <v>2912</v>
      </c>
      <c r="E52" s="29">
        <f t="shared" si="0"/>
        <v>3091</v>
      </c>
      <c r="F52" s="30">
        <f t="shared" si="1"/>
        <v>5.7910061468780327</v>
      </c>
      <c r="G52" s="31">
        <f t="shared" si="2"/>
        <v>2.0204859363458687</v>
      </c>
    </row>
    <row r="53" spans="2:7">
      <c r="B53" s="40" t="s">
        <v>44</v>
      </c>
      <c r="C53" s="28">
        <v>91</v>
      </c>
      <c r="D53" s="29">
        <v>811</v>
      </c>
      <c r="E53" s="29">
        <f t="shared" si="0"/>
        <v>902</v>
      </c>
      <c r="F53" s="30">
        <f t="shared" si="1"/>
        <v>10.088691796008868</v>
      </c>
      <c r="G53" s="31">
        <f t="shared" si="2"/>
        <v>0.5896079956596485</v>
      </c>
    </row>
    <row r="54" spans="2:7">
      <c r="B54" s="40" t="s">
        <v>45</v>
      </c>
      <c r="C54" s="28">
        <v>181</v>
      </c>
      <c r="D54" s="29">
        <v>944</v>
      </c>
      <c r="E54" s="29">
        <f t="shared" si="0"/>
        <v>1125</v>
      </c>
      <c r="F54" s="30">
        <f t="shared" si="1"/>
        <v>16.088888888888889</v>
      </c>
      <c r="G54" s="31">
        <f t="shared" si="2"/>
        <v>0.735375826072178</v>
      </c>
    </row>
    <row r="55" spans="2:7">
      <c r="B55" s="40" t="s">
        <v>46</v>
      </c>
      <c r="C55" s="28">
        <v>397</v>
      </c>
      <c r="D55" s="29">
        <v>261</v>
      </c>
      <c r="E55" s="29">
        <f>SUM(C55:D55)</f>
        <v>658</v>
      </c>
      <c r="F55" s="30">
        <f t="shared" si="1"/>
        <v>60.334346504559271</v>
      </c>
      <c r="G55" s="31">
        <f t="shared" si="2"/>
        <v>0.43011314982710497</v>
      </c>
    </row>
    <row r="56" spans="2:7">
      <c r="B56" s="12"/>
      <c r="C56" s="34">
        <f>SUM(C8:C55)</f>
        <v>28256</v>
      </c>
      <c r="D56" s="35">
        <f>SUM(D8:D55)</f>
        <v>121327</v>
      </c>
      <c r="E56" s="35">
        <f>SUM(E8:E55)</f>
        <v>152983</v>
      </c>
      <c r="F56" s="36" t="s">
        <v>49</v>
      </c>
      <c r="G56" s="14"/>
    </row>
    <row r="57" spans="2:7">
      <c r="B57" s="12"/>
      <c r="C57" s="13"/>
      <c r="D57" s="2"/>
      <c r="E57" s="2"/>
      <c r="F57" s="15"/>
    </row>
    <row r="58" spans="2:7">
      <c r="B58" s="12"/>
      <c r="C58" s="12"/>
      <c r="D58" s="12"/>
      <c r="E58" s="12"/>
    </row>
    <row r="59" spans="2:7">
      <c r="B59" s="12"/>
      <c r="C59" s="7"/>
      <c r="D59" s="1"/>
    </row>
    <row r="60" spans="2:7">
      <c r="B60" s="157"/>
      <c r="C60" s="157"/>
      <c r="D60" s="2"/>
    </row>
    <row r="61" spans="2:7">
      <c r="B61" s="157"/>
      <c r="C61" s="157"/>
      <c r="D61" s="2"/>
      <c r="E61" s="8"/>
    </row>
    <row r="62" spans="2:7">
      <c r="C62" s="9"/>
      <c r="D62" s="2"/>
      <c r="E62" s="9"/>
    </row>
    <row r="63" spans="2:7">
      <c r="D63" s="2"/>
      <c r="E63" s="10"/>
    </row>
    <row r="64" spans="2:7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</sheetData>
  <mergeCells count="5">
    <mergeCell ref="B2:G2"/>
    <mergeCell ref="B3:G3"/>
    <mergeCell ref="B60:C60"/>
    <mergeCell ref="B61:C61"/>
    <mergeCell ref="C6:G6"/>
  </mergeCells>
  <phoneticPr fontId="6" type="noConversion"/>
  <pageMargins left="0.75" right="0.75" top="1" bottom="1" header="0" footer="0"/>
  <pageSetup paperSize="9" scale="99" orientation="portrait" r:id="rId1"/>
  <headerFooter alignWithMargins="0">
    <oddFooter>&amp;LTodas las federaciones presentan el número de licencias en la subvención anual. En el 2005 se les ha requerido a todas que corrijan los datos según su libro de estamentos y &amp;Uen todas&amp;U el número se reduce.</oddFooter>
  </headerFooter>
  <rowBreaks count="1" manualBreakCount="1">
    <brk id="59" max="6" man="1"/>
  </rowBreaks>
  <ignoredErrors>
    <ignoredError sqref="E8 E9:E23 E53:E54 E55 E42:E52 E24:E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"/>
  <sheetViews>
    <sheetView view="pageBreakPreview" zoomScale="110" zoomScaleNormal="100" zoomScaleSheetLayoutView="110" workbookViewId="0">
      <selection activeCell="C11" sqref="C11"/>
    </sheetView>
  </sheetViews>
  <sheetFormatPr defaultColWidth="11.42578125" defaultRowHeight="12"/>
  <cols>
    <col min="1" max="1" width="5" style="1" customWidth="1"/>
    <col min="2" max="2" width="20.7109375" style="1" customWidth="1"/>
    <col min="3" max="3" width="11.85546875" style="1" bestFit="1" customWidth="1"/>
    <col min="4" max="4" width="12" style="11" bestFit="1" customWidth="1"/>
    <col min="5" max="5" width="8.28515625" style="1" bestFit="1" customWidth="1"/>
    <col min="6" max="6" width="15.85546875" style="1" bestFit="1" customWidth="1"/>
    <col min="7" max="7" width="14.42578125" style="1" bestFit="1" customWidth="1"/>
    <col min="8" max="16384" width="11.42578125" style="1"/>
  </cols>
  <sheetData>
    <row r="1" spans="2:7">
      <c r="D1" s="2"/>
    </row>
    <row r="2" spans="2:7" ht="15.75" customHeight="1">
      <c r="B2" s="155" t="s">
        <v>51</v>
      </c>
      <c r="C2" s="155"/>
      <c r="D2" s="155"/>
      <c r="E2" s="155"/>
      <c r="F2" s="155"/>
      <c r="G2" s="155"/>
    </row>
    <row r="3" spans="2:7" s="3" customFormat="1" ht="15.75" customHeight="1">
      <c r="B3" s="156" t="s">
        <v>63</v>
      </c>
      <c r="C3" s="156"/>
      <c r="D3" s="156"/>
      <c r="E3" s="156"/>
      <c r="F3" s="156"/>
      <c r="G3" s="156"/>
    </row>
    <row r="4" spans="2:7" s="3" customFormat="1" ht="15.75" customHeight="1">
      <c r="B4" s="4"/>
      <c r="C4" s="4"/>
      <c r="D4" s="4"/>
      <c r="E4" s="4"/>
    </row>
    <row r="5" spans="2:7" ht="12.75" thickBot="1">
      <c r="D5" s="2"/>
    </row>
    <row r="6" spans="2:7">
      <c r="B6" s="19"/>
      <c r="C6" s="158"/>
      <c r="D6" s="158"/>
      <c r="E6" s="158"/>
      <c r="F6" s="158"/>
      <c r="G6" s="159"/>
    </row>
    <row r="7" spans="2:7" ht="12.75" thickBot="1">
      <c r="B7" s="20" t="s">
        <v>71</v>
      </c>
      <c r="C7" s="21" t="s">
        <v>72</v>
      </c>
      <c r="D7" s="21" t="s">
        <v>73</v>
      </c>
      <c r="E7" s="21" t="s">
        <v>74</v>
      </c>
      <c r="F7" s="21" t="s">
        <v>75</v>
      </c>
      <c r="G7" s="22" t="s">
        <v>76</v>
      </c>
    </row>
    <row r="8" spans="2:7">
      <c r="B8" s="41" t="s">
        <v>0</v>
      </c>
      <c r="C8" s="24">
        <v>423</v>
      </c>
      <c r="D8" s="25">
        <v>2666</v>
      </c>
      <c r="E8" s="25">
        <f>SUM(C8:D8)</f>
        <v>3089</v>
      </c>
      <c r="F8" s="26">
        <v>13.693752023308514</v>
      </c>
      <c r="G8" s="27">
        <v>1.8492133809056297</v>
      </c>
    </row>
    <row r="9" spans="2:7">
      <c r="B9" s="40" t="s">
        <v>1</v>
      </c>
      <c r="C9" s="28">
        <v>312</v>
      </c>
      <c r="D9" s="29">
        <v>1794</v>
      </c>
      <c r="E9" s="29">
        <f t="shared" ref="E9:E57" si="0">SUM(C9:D9)</f>
        <v>2106</v>
      </c>
      <c r="F9" s="30">
        <v>14.814814814814815</v>
      </c>
      <c r="G9" s="31">
        <v>1.2607456717990471</v>
      </c>
    </row>
    <row r="10" spans="2:7">
      <c r="B10" s="40" t="s">
        <v>2</v>
      </c>
      <c r="C10" s="28">
        <v>572</v>
      </c>
      <c r="D10" s="29">
        <v>1622</v>
      </c>
      <c r="E10" s="29">
        <f t="shared" si="0"/>
        <v>2194</v>
      </c>
      <c r="F10" s="30">
        <v>26.071103008204194</v>
      </c>
      <c r="G10" s="31">
        <v>1.3134264026244582</v>
      </c>
    </row>
    <row r="11" spans="2:7">
      <c r="B11" s="40" t="s">
        <v>3</v>
      </c>
      <c r="C11" s="28">
        <v>45</v>
      </c>
      <c r="D11" s="29">
        <v>859</v>
      </c>
      <c r="E11" s="29">
        <f t="shared" si="0"/>
        <v>904</v>
      </c>
      <c r="F11" s="30">
        <v>4.9778761061946906</v>
      </c>
      <c r="G11" s="31">
        <v>0.54117478029740662</v>
      </c>
    </row>
    <row r="12" spans="2:7">
      <c r="B12" s="40" t="s">
        <v>4</v>
      </c>
      <c r="C12" s="28">
        <v>164</v>
      </c>
      <c r="D12" s="29">
        <v>249</v>
      </c>
      <c r="E12" s="29">
        <f t="shared" si="0"/>
        <v>413</v>
      </c>
      <c r="F12" s="30">
        <v>39.709443099273606</v>
      </c>
      <c r="G12" s="31">
        <v>0.24724024807835063</v>
      </c>
    </row>
    <row r="13" spans="2:7">
      <c r="B13" s="40" t="s">
        <v>5</v>
      </c>
      <c r="C13" s="28">
        <v>2968</v>
      </c>
      <c r="D13" s="29">
        <v>5352</v>
      </c>
      <c r="E13" s="29">
        <f t="shared" si="0"/>
        <v>8320</v>
      </c>
      <c r="F13" s="30">
        <v>35.67307692307692</v>
      </c>
      <c r="G13" s="31">
        <v>4.9807236416752474</v>
      </c>
    </row>
    <row r="14" spans="2:7">
      <c r="B14" s="40" t="s">
        <v>6</v>
      </c>
      <c r="C14" s="28">
        <v>965</v>
      </c>
      <c r="D14" s="29">
        <v>2049</v>
      </c>
      <c r="E14" s="29">
        <f t="shared" si="0"/>
        <v>3014</v>
      </c>
      <c r="F14" s="30">
        <v>32.01725282017253</v>
      </c>
      <c r="G14" s="31">
        <v>1.8043150307703359</v>
      </c>
    </row>
    <row r="15" spans="2:7">
      <c r="B15" s="40" t="s">
        <v>7</v>
      </c>
      <c r="C15" s="28">
        <v>219</v>
      </c>
      <c r="D15" s="29">
        <v>145</v>
      </c>
      <c r="E15" s="29">
        <f t="shared" si="0"/>
        <v>364</v>
      </c>
      <c r="F15" s="30">
        <v>60.164835164835168</v>
      </c>
      <c r="G15" s="31">
        <v>0.21790665932329206</v>
      </c>
    </row>
    <row r="16" spans="2:7">
      <c r="B16" s="40" t="s">
        <v>54</v>
      </c>
      <c r="C16" s="28">
        <v>13</v>
      </c>
      <c r="D16" s="29">
        <v>27</v>
      </c>
      <c r="E16" s="29">
        <f t="shared" si="0"/>
        <v>40</v>
      </c>
      <c r="F16" s="30">
        <v>32.5</v>
      </c>
      <c r="G16" s="31">
        <v>2.3945786738823305E-2</v>
      </c>
    </row>
    <row r="17" spans="2:7">
      <c r="B17" s="40" t="s">
        <v>8</v>
      </c>
      <c r="C17" s="28">
        <v>573</v>
      </c>
      <c r="D17" s="29">
        <v>3784</v>
      </c>
      <c r="E17" s="29">
        <f t="shared" si="0"/>
        <v>4357</v>
      </c>
      <c r="F17" s="30">
        <v>13.151250860683957</v>
      </c>
      <c r="G17" s="31">
        <v>2.6082948205263286</v>
      </c>
    </row>
    <row r="18" spans="2:7">
      <c r="B18" s="40" t="s">
        <v>9</v>
      </c>
      <c r="C18" s="28">
        <v>25</v>
      </c>
      <c r="D18" s="29">
        <v>276</v>
      </c>
      <c r="E18" s="29">
        <f t="shared" si="0"/>
        <v>301</v>
      </c>
      <c r="F18" s="30">
        <v>8.3056478405315612</v>
      </c>
      <c r="G18" s="31">
        <v>0.18019204520964535</v>
      </c>
    </row>
    <row r="19" spans="2:7">
      <c r="B19" s="40" t="s">
        <v>10</v>
      </c>
      <c r="C19" s="28">
        <v>162</v>
      </c>
      <c r="D19" s="29">
        <v>19530</v>
      </c>
      <c r="E19" s="29">
        <f t="shared" si="0"/>
        <v>19692</v>
      </c>
      <c r="F19" s="30">
        <v>0.82266910420475325</v>
      </c>
      <c r="G19" s="31">
        <v>11.788510811522713</v>
      </c>
    </row>
    <row r="20" spans="2:7">
      <c r="B20" s="40" t="s">
        <v>11</v>
      </c>
      <c r="C20" s="28">
        <v>76</v>
      </c>
      <c r="D20" s="29">
        <v>6649</v>
      </c>
      <c r="E20" s="29">
        <f t="shared" si="0"/>
        <v>6725</v>
      </c>
      <c r="F20" s="30">
        <v>1.1301115241635689</v>
      </c>
      <c r="G20" s="31">
        <v>4.0258853954646678</v>
      </c>
    </row>
    <row r="21" spans="2:7">
      <c r="B21" s="40" t="s">
        <v>12</v>
      </c>
      <c r="C21" s="28">
        <v>21</v>
      </c>
      <c r="D21" s="29">
        <v>566</v>
      </c>
      <c r="E21" s="29">
        <f t="shared" si="0"/>
        <v>587</v>
      </c>
      <c r="F21" s="30">
        <v>3.5775127768313459</v>
      </c>
      <c r="G21" s="31">
        <v>0.35140442039223196</v>
      </c>
    </row>
    <row r="22" spans="2:7">
      <c r="B22" s="40" t="s">
        <v>13</v>
      </c>
      <c r="C22" s="28">
        <v>1339</v>
      </c>
      <c r="D22" s="29">
        <v>2153</v>
      </c>
      <c r="E22" s="29">
        <f t="shared" si="0"/>
        <v>3492</v>
      </c>
      <c r="F22" s="30">
        <v>38.344788087056131</v>
      </c>
      <c r="G22" s="31">
        <v>2.0904671822992746</v>
      </c>
    </row>
    <row r="23" spans="2:7">
      <c r="B23" s="40" t="s">
        <v>14</v>
      </c>
      <c r="C23" s="28">
        <v>159</v>
      </c>
      <c r="D23" s="29">
        <v>395</v>
      </c>
      <c r="E23" s="29">
        <f t="shared" si="0"/>
        <v>554</v>
      </c>
      <c r="F23" s="30">
        <v>28.700361010830324</v>
      </c>
      <c r="G23" s="31">
        <v>0.33164914633270276</v>
      </c>
    </row>
    <row r="24" spans="2:7">
      <c r="B24" s="40" t="s">
        <v>15</v>
      </c>
      <c r="C24" s="28">
        <v>0</v>
      </c>
      <c r="D24" s="29">
        <v>0</v>
      </c>
      <c r="E24" s="29">
        <f t="shared" si="0"/>
        <v>0</v>
      </c>
      <c r="F24" s="30">
        <v>0</v>
      </c>
      <c r="G24" s="31">
        <v>0</v>
      </c>
    </row>
    <row r="25" spans="2:7">
      <c r="B25" s="40" t="s">
        <v>16</v>
      </c>
      <c r="C25" s="28">
        <v>6</v>
      </c>
      <c r="D25" s="29">
        <v>18</v>
      </c>
      <c r="E25" s="29">
        <f t="shared" si="0"/>
        <v>24</v>
      </c>
      <c r="F25" s="30">
        <v>25</v>
      </c>
      <c r="G25" s="31">
        <v>1.4367472043293982E-2</v>
      </c>
    </row>
    <row r="26" spans="2:7">
      <c r="B26" s="40" t="s">
        <v>17</v>
      </c>
      <c r="C26" s="28">
        <v>10181</v>
      </c>
      <c r="D26" s="29">
        <v>16386</v>
      </c>
      <c r="E26" s="29">
        <f t="shared" si="0"/>
        <v>26567</v>
      </c>
      <c r="F26" s="30">
        <v>38.321978394248504</v>
      </c>
      <c r="G26" s="31">
        <v>15.904192907257968</v>
      </c>
    </row>
    <row r="27" spans="2:7">
      <c r="B27" s="40" t="s">
        <v>18</v>
      </c>
      <c r="C27" s="28">
        <v>310</v>
      </c>
      <c r="D27" s="29">
        <v>2302</v>
      </c>
      <c r="E27" s="29">
        <f t="shared" si="0"/>
        <v>2612</v>
      </c>
      <c r="F27" s="30">
        <v>11.868300153139357</v>
      </c>
      <c r="G27" s="31">
        <v>1.5636598740451617</v>
      </c>
    </row>
    <row r="28" spans="2:7">
      <c r="B28" s="40" t="s">
        <v>19</v>
      </c>
      <c r="C28" s="28">
        <v>340</v>
      </c>
      <c r="D28" s="29">
        <v>46</v>
      </c>
      <c r="E28" s="29">
        <f t="shared" si="0"/>
        <v>386</v>
      </c>
      <c r="F28" s="30">
        <v>88.082901554404145</v>
      </c>
      <c r="G28" s="31">
        <v>0.23107684202964487</v>
      </c>
    </row>
    <row r="29" spans="2:7">
      <c r="B29" s="40" t="s">
        <v>20</v>
      </c>
      <c r="C29" s="28">
        <v>5619</v>
      </c>
      <c r="D29" s="29">
        <v>10659</v>
      </c>
      <c r="E29" s="29">
        <f t="shared" si="0"/>
        <v>16278</v>
      </c>
      <c r="F29" s="30">
        <v>34.51898267600442</v>
      </c>
      <c r="G29" s="31">
        <v>9.7447379133641441</v>
      </c>
    </row>
    <row r="30" spans="2:7">
      <c r="B30" s="40" t="s">
        <v>21</v>
      </c>
      <c r="C30" s="28">
        <v>8</v>
      </c>
      <c r="D30" s="29">
        <v>130</v>
      </c>
      <c r="E30" s="29">
        <f t="shared" si="0"/>
        <v>138</v>
      </c>
      <c r="F30" s="30">
        <v>5.7971014492753623</v>
      </c>
      <c r="G30" s="31">
        <v>8.2612964248940393E-2</v>
      </c>
    </row>
    <row r="31" spans="2:7">
      <c r="B31" s="40" t="s">
        <v>48</v>
      </c>
      <c r="C31" s="28">
        <v>146</v>
      </c>
      <c r="D31" s="29">
        <v>1120</v>
      </c>
      <c r="E31" s="29">
        <f t="shared" si="0"/>
        <v>1266</v>
      </c>
      <c r="F31" s="30">
        <v>11.532385466034755</v>
      </c>
      <c r="G31" s="31">
        <v>0.75788415028375755</v>
      </c>
    </row>
    <row r="32" spans="2:7">
      <c r="B32" s="40" t="s">
        <v>22</v>
      </c>
      <c r="C32" s="28">
        <v>1150</v>
      </c>
      <c r="D32" s="29">
        <v>877</v>
      </c>
      <c r="E32" s="29">
        <f t="shared" si="0"/>
        <v>2027</v>
      </c>
      <c r="F32" s="30">
        <v>56.734089787863837</v>
      </c>
      <c r="G32" s="31">
        <v>1.2134527429898709</v>
      </c>
    </row>
    <row r="33" spans="2:7">
      <c r="B33" s="40" t="s">
        <v>23</v>
      </c>
      <c r="C33" s="28">
        <v>278</v>
      </c>
      <c r="D33" s="29">
        <v>528</v>
      </c>
      <c r="E33" s="29">
        <f t="shared" si="0"/>
        <v>806</v>
      </c>
      <c r="F33" s="30">
        <v>34.49131513647643</v>
      </c>
      <c r="G33" s="31">
        <v>0.4825076027872896</v>
      </c>
    </row>
    <row r="34" spans="2:7">
      <c r="B34" s="40" t="s">
        <v>24</v>
      </c>
      <c r="C34" s="28">
        <v>228</v>
      </c>
      <c r="D34" s="29">
        <v>975</v>
      </c>
      <c r="E34" s="29">
        <f t="shared" si="0"/>
        <v>1203</v>
      </c>
      <c r="F34" s="30">
        <v>18.952618453865338</v>
      </c>
      <c r="G34" s="31">
        <v>0.72016953617011092</v>
      </c>
    </row>
    <row r="35" spans="2:7">
      <c r="B35" s="40" t="s">
        <v>25</v>
      </c>
      <c r="C35" s="28">
        <v>240</v>
      </c>
      <c r="D35" s="29">
        <v>769</v>
      </c>
      <c r="E35" s="29">
        <f t="shared" si="0"/>
        <v>1009</v>
      </c>
      <c r="F35" s="30">
        <v>23.785926660059467</v>
      </c>
      <c r="G35" s="31">
        <v>0.60403247048681785</v>
      </c>
    </row>
    <row r="36" spans="2:7">
      <c r="B36" s="40" t="s">
        <v>26</v>
      </c>
      <c r="C36" s="28">
        <v>23</v>
      </c>
      <c r="D36" s="29">
        <v>139</v>
      </c>
      <c r="E36" s="29">
        <f t="shared" si="0"/>
        <v>162</v>
      </c>
      <c r="F36" s="30">
        <v>14.197530864197532</v>
      </c>
      <c r="G36" s="31">
        <v>9.6980436292234379E-2</v>
      </c>
    </row>
    <row r="37" spans="2:7">
      <c r="B37" s="40" t="s">
        <v>27</v>
      </c>
      <c r="C37" s="28">
        <v>8721</v>
      </c>
      <c r="D37" s="29">
        <v>24766</v>
      </c>
      <c r="E37" s="29">
        <f t="shared" si="0"/>
        <v>33487</v>
      </c>
      <c r="F37" s="30">
        <v>26.042942037208469</v>
      </c>
      <c r="G37" s="31">
        <v>20.0468140130744</v>
      </c>
    </row>
    <row r="38" spans="2:7">
      <c r="B38" s="40" t="s">
        <v>28</v>
      </c>
      <c r="C38" s="28">
        <v>3</v>
      </c>
      <c r="D38" s="29">
        <v>361</v>
      </c>
      <c r="E38" s="29">
        <f t="shared" si="0"/>
        <v>364</v>
      </c>
      <c r="F38" s="30">
        <v>0.82417582417582413</v>
      </c>
      <c r="G38" s="31">
        <v>0.21790665932329206</v>
      </c>
    </row>
    <row r="39" spans="2:7">
      <c r="B39" s="40" t="s">
        <v>29</v>
      </c>
      <c r="C39" s="28">
        <v>390</v>
      </c>
      <c r="D39" s="29">
        <v>815</v>
      </c>
      <c r="E39" s="29">
        <f t="shared" si="0"/>
        <v>1205</v>
      </c>
      <c r="F39" s="30">
        <v>32.365145228215766</v>
      </c>
      <c r="G39" s="31">
        <v>0.721366825507052</v>
      </c>
    </row>
    <row r="40" spans="2:7">
      <c r="B40" s="40" t="s">
        <v>53</v>
      </c>
      <c r="C40" s="28">
        <v>657</v>
      </c>
      <c r="D40" s="29">
        <v>1322</v>
      </c>
      <c r="E40" s="29">
        <f t="shared" si="0"/>
        <v>1979</v>
      </c>
      <c r="F40" s="30">
        <v>33.198585144012128</v>
      </c>
      <c r="G40" s="31">
        <v>1.1847177989032829</v>
      </c>
    </row>
    <row r="41" spans="2:7">
      <c r="B41" s="40" t="s">
        <v>30</v>
      </c>
      <c r="C41" s="28">
        <v>217</v>
      </c>
      <c r="D41" s="29">
        <v>788</v>
      </c>
      <c r="E41" s="29">
        <f t="shared" si="0"/>
        <v>1005</v>
      </c>
      <c r="F41" s="30">
        <v>21.592039800995025</v>
      </c>
      <c r="G41" s="31">
        <v>0.60163789181293548</v>
      </c>
    </row>
    <row r="42" spans="2:7">
      <c r="B42" s="40" t="s">
        <v>31</v>
      </c>
      <c r="C42" s="28">
        <v>74</v>
      </c>
      <c r="D42" s="29">
        <v>2214</v>
      </c>
      <c r="E42" s="29">
        <f t="shared" si="0"/>
        <v>2288</v>
      </c>
      <c r="F42" s="30">
        <v>3.2342657342657342</v>
      </c>
      <c r="G42" s="31">
        <v>1.3696990014606929</v>
      </c>
    </row>
    <row r="43" spans="2:7">
      <c r="B43" s="40" t="s">
        <v>32</v>
      </c>
      <c r="C43" s="28">
        <v>120</v>
      </c>
      <c r="D43" s="29">
        <v>2894</v>
      </c>
      <c r="E43" s="29">
        <f t="shared" si="0"/>
        <v>3014</v>
      </c>
      <c r="F43" s="30">
        <v>3.9814200398142003</v>
      </c>
      <c r="G43" s="31">
        <v>1.8043150307703359</v>
      </c>
    </row>
    <row r="44" spans="2:7">
      <c r="B44" s="40" t="s">
        <v>33</v>
      </c>
      <c r="C44" s="28">
        <v>62</v>
      </c>
      <c r="D44" s="29">
        <v>172</v>
      </c>
      <c r="E44" s="29">
        <f t="shared" si="0"/>
        <v>234</v>
      </c>
      <c r="F44" s="30">
        <v>26.495726495726494</v>
      </c>
      <c r="G44" s="31">
        <v>0.14008285242211632</v>
      </c>
    </row>
    <row r="45" spans="2:7">
      <c r="B45" s="40" t="s">
        <v>34</v>
      </c>
      <c r="C45" s="28">
        <v>138</v>
      </c>
      <c r="D45" s="29">
        <v>673</v>
      </c>
      <c r="E45" s="29">
        <f t="shared" si="0"/>
        <v>811</v>
      </c>
      <c r="F45" s="30">
        <v>17.016029593094945</v>
      </c>
      <c r="G45" s="31">
        <v>0.48550082612964252</v>
      </c>
    </row>
    <row r="46" spans="2:7">
      <c r="B46" s="40" t="s">
        <v>35</v>
      </c>
      <c r="C46" s="28">
        <v>286</v>
      </c>
      <c r="D46" s="29">
        <v>1551</v>
      </c>
      <c r="E46" s="29">
        <f t="shared" si="0"/>
        <v>1837</v>
      </c>
      <c r="F46" s="30">
        <v>15.568862275449101</v>
      </c>
      <c r="G46" s="31">
        <v>1.0997102559804601</v>
      </c>
    </row>
    <row r="47" spans="2:7">
      <c r="B47" s="40" t="s">
        <v>36</v>
      </c>
      <c r="C47" s="28">
        <v>142</v>
      </c>
      <c r="D47" s="29">
        <v>1203</v>
      </c>
      <c r="E47" s="29">
        <f t="shared" si="0"/>
        <v>1345</v>
      </c>
      <c r="F47" s="30">
        <v>10.557620817843866</v>
      </c>
      <c r="G47" s="31">
        <v>0.80517707909293357</v>
      </c>
    </row>
    <row r="48" spans="2:7">
      <c r="B48" s="40" t="s">
        <v>37</v>
      </c>
      <c r="C48" s="28">
        <v>0</v>
      </c>
      <c r="D48" s="29">
        <v>0</v>
      </c>
      <c r="E48" s="29">
        <f t="shared" si="0"/>
        <v>0</v>
      </c>
      <c r="F48" s="30">
        <v>0</v>
      </c>
      <c r="G48" s="31">
        <v>0</v>
      </c>
    </row>
    <row r="49" spans="2:9">
      <c r="B49" s="40" t="s">
        <v>38</v>
      </c>
      <c r="C49" s="28">
        <v>201</v>
      </c>
      <c r="D49" s="29">
        <v>1558</v>
      </c>
      <c r="E49" s="29">
        <f t="shared" si="0"/>
        <v>1759</v>
      </c>
      <c r="F49" s="30">
        <v>11.426947129050596</v>
      </c>
      <c r="G49" s="31">
        <v>1.0530159718397547</v>
      </c>
    </row>
    <row r="50" spans="2:9">
      <c r="B50" s="40" t="s">
        <v>39</v>
      </c>
      <c r="C50" s="28">
        <v>216</v>
      </c>
      <c r="D50" s="29">
        <v>546</v>
      </c>
      <c r="E50" s="29">
        <f t="shared" si="0"/>
        <v>762</v>
      </c>
      <c r="F50" s="30">
        <v>28.346456692913385</v>
      </c>
      <c r="G50" s="31">
        <v>0.45616723737458392</v>
      </c>
    </row>
    <row r="51" spans="2:9">
      <c r="B51" s="40" t="s">
        <v>40</v>
      </c>
      <c r="C51" s="28">
        <v>375</v>
      </c>
      <c r="D51" s="29">
        <v>1014</v>
      </c>
      <c r="E51" s="29">
        <f t="shared" si="0"/>
        <v>1389</v>
      </c>
      <c r="F51" s="30">
        <v>26.997840172786177</v>
      </c>
      <c r="G51" s="31">
        <v>0.83151744450563925</v>
      </c>
    </row>
    <row r="52" spans="2:9">
      <c r="B52" s="40" t="s">
        <v>41</v>
      </c>
      <c r="C52" s="28">
        <v>37</v>
      </c>
      <c r="D52" s="29">
        <v>200</v>
      </c>
      <c r="E52" s="29">
        <f t="shared" si="0"/>
        <v>237</v>
      </c>
      <c r="F52" s="30">
        <v>15.611814345991561</v>
      </c>
      <c r="G52" s="31">
        <v>0.14187878642752808</v>
      </c>
    </row>
    <row r="53" spans="2:9">
      <c r="B53" s="40" t="s">
        <v>42</v>
      </c>
      <c r="C53" s="28">
        <v>98</v>
      </c>
      <c r="D53" s="29">
        <v>474</v>
      </c>
      <c r="E53" s="29">
        <f t="shared" si="0"/>
        <v>572</v>
      </c>
      <c r="F53" s="30">
        <v>17.132867132867133</v>
      </c>
      <c r="G53" s="31">
        <v>0.34242475036517322</v>
      </c>
    </row>
    <row r="54" spans="2:9">
      <c r="B54" s="40" t="s">
        <v>43</v>
      </c>
      <c r="C54" s="28">
        <v>150</v>
      </c>
      <c r="D54" s="29">
        <v>2825</v>
      </c>
      <c r="E54" s="29">
        <f t="shared" si="0"/>
        <v>2975</v>
      </c>
      <c r="F54" s="30">
        <v>5.0420168067226889</v>
      </c>
      <c r="G54" s="31">
        <v>1.7809678886999833</v>
      </c>
    </row>
    <row r="55" spans="2:9">
      <c r="B55" s="40" t="s">
        <v>44</v>
      </c>
      <c r="C55" s="28">
        <v>81</v>
      </c>
      <c r="D55" s="29">
        <v>942</v>
      </c>
      <c r="E55" s="29">
        <f t="shared" si="0"/>
        <v>1023</v>
      </c>
      <c r="F55" s="30">
        <v>7.9178885630498534</v>
      </c>
      <c r="G55" s="31">
        <v>0.61241349584540605</v>
      </c>
    </row>
    <row r="56" spans="2:9">
      <c r="B56" s="40" t="s">
        <v>45</v>
      </c>
      <c r="C56" s="28">
        <v>214</v>
      </c>
      <c r="D56" s="29">
        <v>1082</v>
      </c>
      <c r="E56" s="29">
        <f t="shared" si="0"/>
        <v>1296</v>
      </c>
      <c r="F56" s="30">
        <v>16.512345679012345</v>
      </c>
      <c r="G56" s="31">
        <v>0.77584349033787503</v>
      </c>
    </row>
    <row r="57" spans="2:9">
      <c r="B57" s="40" t="s">
        <v>46</v>
      </c>
      <c r="C57" s="28">
        <v>296</v>
      </c>
      <c r="D57" s="29">
        <v>536</v>
      </c>
      <c r="E57" s="29">
        <f t="shared" si="0"/>
        <v>832</v>
      </c>
      <c r="F57" s="30">
        <v>35.57692307692308</v>
      </c>
      <c r="G57" s="31">
        <v>0.49807236416752471</v>
      </c>
      <c r="I57" s="16"/>
    </row>
    <row r="58" spans="2:9">
      <c r="B58" s="12"/>
      <c r="C58" s="32">
        <f>SUM(C8:C57)</f>
        <v>39043</v>
      </c>
      <c r="D58" s="32">
        <f>SUM(D8:D57)</f>
        <v>128001</v>
      </c>
      <c r="E58" s="32">
        <f>SUM(E8:E57)</f>
        <v>167044</v>
      </c>
      <c r="F58" s="33" t="s">
        <v>55</v>
      </c>
      <c r="G58" s="14"/>
    </row>
    <row r="59" spans="2:9">
      <c r="B59" s="12"/>
      <c r="C59" s="13"/>
      <c r="D59" s="2"/>
      <c r="E59" s="2"/>
      <c r="F59" s="15"/>
    </row>
    <row r="60" spans="2:9">
      <c r="B60" s="12"/>
      <c r="C60" s="12"/>
      <c r="D60" s="12"/>
      <c r="E60" s="12"/>
    </row>
    <row r="61" spans="2:9">
      <c r="B61" s="12"/>
      <c r="C61" s="7"/>
      <c r="D61" s="1"/>
    </row>
    <row r="62" spans="2:9">
      <c r="B62" s="157"/>
      <c r="C62" s="157"/>
      <c r="D62" s="2"/>
    </row>
    <row r="63" spans="2:9">
      <c r="B63" s="157"/>
      <c r="C63" s="157"/>
      <c r="D63" s="2"/>
      <c r="E63" s="8"/>
    </row>
    <row r="64" spans="2:9">
      <c r="C64" s="9"/>
      <c r="D64" s="2"/>
      <c r="E64" s="9"/>
    </row>
    <row r="65" spans="4:5">
      <c r="D65" s="2"/>
      <c r="E65" s="10"/>
    </row>
    <row r="66" spans="4:5">
      <c r="D66" s="2"/>
    </row>
    <row r="67" spans="4:5">
      <c r="D67" s="2"/>
    </row>
    <row r="68" spans="4:5">
      <c r="D68" s="2"/>
    </row>
    <row r="69" spans="4:5">
      <c r="D69" s="2"/>
    </row>
    <row r="70" spans="4:5">
      <c r="D70" s="2"/>
    </row>
    <row r="71" spans="4:5">
      <c r="D71" s="2"/>
    </row>
  </sheetData>
  <mergeCells count="5">
    <mergeCell ref="B63:C63"/>
    <mergeCell ref="B2:G2"/>
    <mergeCell ref="B3:G3"/>
    <mergeCell ref="C6:G6"/>
    <mergeCell ref="B62:C62"/>
  </mergeCells>
  <phoneticPr fontId="6" type="noConversion"/>
  <pageMargins left="0.75" right="0.75" top="1" bottom="1" header="0.4921259845" footer="0.49212598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Normal="100" zoomScaleSheetLayoutView="100" workbookViewId="0">
      <selection activeCell="B13" sqref="B13"/>
    </sheetView>
  </sheetViews>
  <sheetFormatPr defaultColWidth="11.42578125" defaultRowHeight="12.75"/>
  <cols>
    <col min="1" max="1" width="24.7109375" customWidth="1"/>
  </cols>
  <sheetData>
    <row r="1" spans="1:6" ht="15">
      <c r="A1" s="155" t="s">
        <v>56</v>
      </c>
      <c r="B1" s="155"/>
      <c r="C1" s="155"/>
      <c r="D1" s="155"/>
      <c r="E1" s="155"/>
      <c r="F1" s="155"/>
    </row>
    <row r="2" spans="1:6" ht="15">
      <c r="A2" s="156" t="s">
        <v>64</v>
      </c>
      <c r="B2" s="156"/>
      <c r="C2" s="156"/>
      <c r="D2" s="156"/>
      <c r="E2" s="156"/>
      <c r="F2" s="156"/>
    </row>
    <row r="3" spans="1:6" ht="13.5" thickBot="1">
      <c r="A3" s="1"/>
      <c r="B3" s="1"/>
      <c r="C3" s="2"/>
      <c r="D3" s="1"/>
      <c r="E3" s="1"/>
      <c r="F3" s="1"/>
    </row>
    <row r="4" spans="1:6">
      <c r="A4" s="19"/>
      <c r="B4" s="158"/>
      <c r="C4" s="158"/>
      <c r="D4" s="158"/>
      <c r="E4" s="158"/>
      <c r="F4" s="159"/>
    </row>
    <row r="5" spans="1:6" ht="13.5" thickBot="1">
      <c r="A5" s="20" t="s">
        <v>71</v>
      </c>
      <c r="B5" s="21" t="s">
        <v>72</v>
      </c>
      <c r="C5" s="21" t="s">
        <v>73</v>
      </c>
      <c r="D5" s="21" t="s">
        <v>74</v>
      </c>
      <c r="E5" s="21" t="s">
        <v>75</v>
      </c>
      <c r="F5" s="22" t="s">
        <v>76</v>
      </c>
    </row>
    <row r="6" spans="1:6">
      <c r="A6" s="40" t="s">
        <v>0</v>
      </c>
      <c r="B6" s="28">
        <f>369+22+9</f>
        <v>400</v>
      </c>
      <c r="C6" s="29">
        <f>2538+42+14</f>
        <v>2594</v>
      </c>
      <c r="D6" s="29">
        <f>B6+C6</f>
        <v>2994</v>
      </c>
      <c r="E6" s="30">
        <f>B6*100/D6</f>
        <v>13.360053440213761</v>
      </c>
      <c r="F6" s="31">
        <f>D6*100/$D$56</f>
        <v>1.7667364942613519</v>
      </c>
    </row>
    <row r="7" spans="1:6">
      <c r="A7" s="40" t="s">
        <v>1</v>
      </c>
      <c r="B7" s="28">
        <f>290+18+4</f>
        <v>312</v>
      </c>
      <c r="C7" s="29">
        <f>1688+69+17+30</f>
        <v>1804</v>
      </c>
      <c r="D7" s="29">
        <f t="shared" ref="D7:D55" si="0">B7+C7</f>
        <v>2116</v>
      </c>
      <c r="E7" s="30">
        <f t="shared" ref="E7:E55" si="1">B7*100/D7</f>
        <v>14.744801512287335</v>
      </c>
      <c r="F7" s="31">
        <f t="shared" ref="F7:F55" si="2">D7*100/$D$56</f>
        <v>1.2486354114418907</v>
      </c>
    </row>
    <row r="8" spans="1:6">
      <c r="A8" s="40" t="s">
        <v>2</v>
      </c>
      <c r="B8" s="28">
        <f>237+111+190+34</f>
        <v>572</v>
      </c>
      <c r="C8" s="29">
        <f>1237+158+222+21</f>
        <v>1638</v>
      </c>
      <c r="D8" s="29">
        <f t="shared" si="0"/>
        <v>2210</v>
      </c>
      <c r="E8" s="30">
        <f t="shared" si="1"/>
        <v>25.882352941176471</v>
      </c>
      <c r="F8" s="31">
        <f t="shared" si="2"/>
        <v>1.3041040922904434</v>
      </c>
    </row>
    <row r="9" spans="1:6">
      <c r="A9" s="40" t="s">
        <v>3</v>
      </c>
      <c r="B9" s="28">
        <f>49+1</f>
        <v>50</v>
      </c>
      <c r="C9" s="37">
        <f>894+8+9</f>
        <v>911</v>
      </c>
      <c r="D9" s="29">
        <f t="shared" si="0"/>
        <v>961</v>
      </c>
      <c r="E9" s="30">
        <f t="shared" si="1"/>
        <v>5.2029136316337148</v>
      </c>
      <c r="F9" s="31">
        <f t="shared" si="2"/>
        <v>0.56707874782403445</v>
      </c>
    </row>
    <row r="10" spans="1:6">
      <c r="A10" s="40" t="s">
        <v>4</v>
      </c>
      <c r="B10" s="28">
        <f>138+15+10+5</f>
        <v>168</v>
      </c>
      <c r="C10" s="29">
        <f>188+12+3+4</f>
        <v>207</v>
      </c>
      <c r="D10" s="29">
        <f t="shared" si="0"/>
        <v>375</v>
      </c>
      <c r="E10" s="30">
        <f t="shared" si="1"/>
        <v>44.8</v>
      </c>
      <c r="F10" s="31">
        <f t="shared" si="2"/>
        <v>0.22128463104475851</v>
      </c>
    </row>
    <row r="11" spans="1:6">
      <c r="A11" s="40" t="s">
        <v>5</v>
      </c>
      <c r="B11" s="28">
        <f>1368+760+707</f>
        <v>2835</v>
      </c>
      <c r="C11" s="29">
        <f>3988+769+639</f>
        <v>5396</v>
      </c>
      <c r="D11" s="29">
        <f t="shared" si="0"/>
        <v>8231</v>
      </c>
      <c r="E11" s="30">
        <f t="shared" si="1"/>
        <v>34.442959543190376</v>
      </c>
      <c r="F11" s="31">
        <f t="shared" si="2"/>
        <v>4.8570501283450858</v>
      </c>
    </row>
    <row r="12" spans="1:6">
      <c r="A12" s="40" t="s">
        <v>6</v>
      </c>
      <c r="B12" s="28">
        <f>307+164+387+176</f>
        <v>1034</v>
      </c>
      <c r="C12" s="29">
        <f>1580+313+444+285</f>
        <v>2622</v>
      </c>
      <c r="D12" s="29">
        <f t="shared" si="0"/>
        <v>3656</v>
      </c>
      <c r="E12" s="30">
        <f t="shared" si="1"/>
        <v>28.282275711159738</v>
      </c>
      <c r="F12" s="31">
        <f t="shared" si="2"/>
        <v>2.1573776295990323</v>
      </c>
    </row>
    <row r="13" spans="1:6">
      <c r="A13" s="40" t="s">
        <v>7</v>
      </c>
      <c r="B13" s="28">
        <f>98+93+51</f>
        <v>242</v>
      </c>
      <c r="C13" s="29">
        <f>151+2+3</f>
        <v>156</v>
      </c>
      <c r="D13" s="29">
        <f t="shared" si="0"/>
        <v>398</v>
      </c>
      <c r="E13" s="30">
        <f t="shared" si="1"/>
        <v>60.804020100502512</v>
      </c>
      <c r="F13" s="31">
        <f t="shared" si="2"/>
        <v>0.23485675508217035</v>
      </c>
    </row>
    <row r="14" spans="1:6">
      <c r="A14" s="40" t="s">
        <v>54</v>
      </c>
      <c r="B14" s="28">
        <v>6</v>
      </c>
      <c r="C14" s="29">
        <v>63</v>
      </c>
      <c r="D14" s="29">
        <f t="shared" si="0"/>
        <v>69</v>
      </c>
      <c r="E14" s="30">
        <f t="shared" si="1"/>
        <v>8.695652173913043</v>
      </c>
      <c r="F14" s="31">
        <f t="shared" si="2"/>
        <v>4.0716372112235562E-2</v>
      </c>
    </row>
    <row r="15" spans="1:6">
      <c r="A15" s="40" t="s">
        <v>8</v>
      </c>
      <c r="B15" s="28">
        <f>518+50+47+7+13</f>
        <v>635</v>
      </c>
      <c r="C15" s="29">
        <f>3491+78+91+38+69</f>
        <v>3767</v>
      </c>
      <c r="D15" s="29">
        <f t="shared" si="0"/>
        <v>4402</v>
      </c>
      <c r="E15" s="30">
        <f t="shared" si="1"/>
        <v>14.425261244888686</v>
      </c>
      <c r="F15" s="31">
        <f t="shared" si="2"/>
        <v>2.5975865222907384</v>
      </c>
    </row>
    <row r="16" spans="1:6">
      <c r="A16" s="40" t="s">
        <v>9</v>
      </c>
      <c r="B16" s="28">
        <f>18+2</f>
        <v>20</v>
      </c>
      <c r="C16" s="29">
        <f>231+25+19+8</f>
        <v>283</v>
      </c>
      <c r="D16" s="29">
        <f t="shared" si="0"/>
        <v>303</v>
      </c>
      <c r="E16" s="30">
        <f t="shared" si="1"/>
        <v>6.6006600660066006</v>
      </c>
      <c r="F16" s="31">
        <f t="shared" si="2"/>
        <v>0.17879798188416487</v>
      </c>
    </row>
    <row r="17" spans="1:6">
      <c r="A17" s="40" t="s">
        <v>10</v>
      </c>
      <c r="B17" s="28">
        <f>95+3+3+5+15</f>
        <v>121</v>
      </c>
      <c r="C17" s="29">
        <f>17464+115+152+136+178</f>
        <v>18045</v>
      </c>
      <c r="D17" s="29">
        <f t="shared" si="0"/>
        <v>18166</v>
      </c>
      <c r="E17" s="30">
        <f t="shared" si="1"/>
        <v>0.66607948915556536</v>
      </c>
      <c r="F17" s="31">
        <f t="shared" si="2"/>
        <v>10.719617620157555</v>
      </c>
    </row>
    <row r="18" spans="1:6">
      <c r="A18" s="40" t="s">
        <v>11</v>
      </c>
      <c r="B18" s="28">
        <f>151+14+17</f>
        <v>182</v>
      </c>
      <c r="C18" s="29">
        <f>6023+257+282</f>
        <v>6562</v>
      </c>
      <c r="D18" s="29">
        <f t="shared" si="0"/>
        <v>6744</v>
      </c>
      <c r="E18" s="30">
        <f t="shared" si="1"/>
        <v>2.6986951364175562</v>
      </c>
      <c r="F18" s="31">
        <f t="shared" si="2"/>
        <v>3.979582804708937</v>
      </c>
    </row>
    <row r="19" spans="1:6">
      <c r="A19" s="40" t="s">
        <v>12</v>
      </c>
      <c r="B19" s="28">
        <f>35</f>
        <v>35</v>
      </c>
      <c r="C19" s="29">
        <f>581+1+1+1</f>
        <v>584</v>
      </c>
      <c r="D19" s="29">
        <f t="shared" si="0"/>
        <v>619</v>
      </c>
      <c r="E19" s="30">
        <f t="shared" si="1"/>
        <v>5.6542810985460417</v>
      </c>
      <c r="F19" s="31">
        <f t="shared" si="2"/>
        <v>0.3652671643112147</v>
      </c>
    </row>
    <row r="20" spans="1:6">
      <c r="A20" s="40" t="s">
        <v>13</v>
      </c>
      <c r="B20" s="28">
        <f>1421+132+70+82</f>
        <v>1705</v>
      </c>
      <c r="C20" s="29">
        <f>1924+135+63+81</f>
        <v>2203</v>
      </c>
      <c r="D20" s="29">
        <f t="shared" si="0"/>
        <v>3908</v>
      </c>
      <c r="E20" s="30">
        <f t="shared" si="1"/>
        <v>43.628454452405322</v>
      </c>
      <c r="F20" s="31">
        <f t="shared" si="2"/>
        <v>2.3060809016611099</v>
      </c>
    </row>
    <row r="21" spans="1:6">
      <c r="A21" s="40" t="s">
        <v>52</v>
      </c>
      <c r="B21" s="28">
        <f>138+5+8+1</f>
        <v>152</v>
      </c>
      <c r="C21" s="29">
        <f>407+14+6+2</f>
        <v>429</v>
      </c>
      <c r="D21" s="29">
        <f t="shared" si="0"/>
        <v>581</v>
      </c>
      <c r="E21" s="30">
        <f t="shared" si="1"/>
        <v>26.161790017211704</v>
      </c>
      <c r="F21" s="31">
        <f t="shared" si="2"/>
        <v>0.34284365503201253</v>
      </c>
    </row>
    <row r="22" spans="1:6">
      <c r="A22" s="40" t="s">
        <v>15</v>
      </c>
      <c r="B22" s="28"/>
      <c r="C22" s="29"/>
      <c r="D22" s="29">
        <f t="shared" si="0"/>
        <v>0</v>
      </c>
      <c r="E22" s="30"/>
      <c r="F22" s="31">
        <f t="shared" si="2"/>
        <v>0</v>
      </c>
    </row>
    <row r="23" spans="1:6">
      <c r="A23" s="40" t="s">
        <v>16</v>
      </c>
      <c r="B23" s="28">
        <f>4+1+1+2</f>
        <v>8</v>
      </c>
      <c r="C23" s="29">
        <f>9+2+2</f>
        <v>13</v>
      </c>
      <c r="D23" s="29">
        <f t="shared" si="0"/>
        <v>21</v>
      </c>
      <c r="E23" s="30">
        <f t="shared" si="1"/>
        <v>38.095238095238095</v>
      </c>
      <c r="F23" s="31">
        <f t="shared" si="2"/>
        <v>1.2391939338506476E-2</v>
      </c>
    </row>
    <row r="24" spans="1:6">
      <c r="A24" s="40" t="s">
        <v>17</v>
      </c>
      <c r="B24" s="28">
        <f>1061+456+745+410</f>
        <v>2672</v>
      </c>
      <c r="C24" s="29">
        <f>10136+4135+5251+4292+1302</f>
        <v>25116</v>
      </c>
      <c r="D24" s="29">
        <f t="shared" si="0"/>
        <v>27788</v>
      </c>
      <c r="E24" s="30">
        <f t="shared" si="1"/>
        <v>9.6156614365913349</v>
      </c>
      <c r="F24" s="31">
        <f t="shared" si="2"/>
        <v>16.397486206591331</v>
      </c>
    </row>
    <row r="25" spans="1:6">
      <c r="A25" s="40" t="s">
        <v>18</v>
      </c>
      <c r="B25" s="28">
        <f>86+5</f>
        <v>91</v>
      </c>
      <c r="C25" s="29">
        <f>1100+223</f>
        <v>1323</v>
      </c>
      <c r="D25" s="29">
        <f t="shared" si="0"/>
        <v>1414</v>
      </c>
      <c r="E25" s="30">
        <f t="shared" si="1"/>
        <v>6.435643564356436</v>
      </c>
      <c r="F25" s="31">
        <f t="shared" si="2"/>
        <v>0.83439058212610273</v>
      </c>
    </row>
    <row r="26" spans="1:6">
      <c r="A26" s="40" t="s">
        <v>19</v>
      </c>
      <c r="B26" s="28">
        <f>99+89+31</f>
        <v>219</v>
      </c>
      <c r="C26" s="29">
        <f>5+7+1</f>
        <v>13</v>
      </c>
      <c r="D26" s="29">
        <f t="shared" si="0"/>
        <v>232</v>
      </c>
      <c r="E26" s="30">
        <f t="shared" si="1"/>
        <v>94.396551724137936</v>
      </c>
      <c r="F26" s="31">
        <f t="shared" si="2"/>
        <v>0.13690142507302394</v>
      </c>
    </row>
    <row r="27" spans="1:6">
      <c r="A27" s="40" t="s">
        <v>20</v>
      </c>
      <c r="B27" s="28">
        <f>5770+128+151+1</f>
        <v>6050</v>
      </c>
      <c r="C27" s="29">
        <f>10921+206+277+1</f>
        <v>11405</v>
      </c>
      <c r="D27" s="29">
        <f t="shared" si="0"/>
        <v>17455</v>
      </c>
      <c r="E27" s="30">
        <f t="shared" si="1"/>
        <v>34.660555714694929</v>
      </c>
      <c r="F27" s="31">
        <f t="shared" si="2"/>
        <v>10.300061959696693</v>
      </c>
    </row>
    <row r="28" spans="1:6">
      <c r="A28" s="40" t="s">
        <v>21</v>
      </c>
      <c r="B28" s="28">
        <f>5+1+1</f>
        <v>7</v>
      </c>
      <c r="C28" s="29">
        <f>105+12+9+10</f>
        <v>136</v>
      </c>
      <c r="D28" s="29">
        <f t="shared" si="0"/>
        <v>143</v>
      </c>
      <c r="E28" s="30">
        <f t="shared" si="1"/>
        <v>4.895104895104895</v>
      </c>
      <c r="F28" s="31">
        <f t="shared" si="2"/>
        <v>8.4383205971734571E-2</v>
      </c>
    </row>
    <row r="29" spans="1:6">
      <c r="A29" s="40" t="s">
        <v>48</v>
      </c>
      <c r="B29" s="28">
        <f>123+4+6</f>
        <v>133</v>
      </c>
      <c r="C29" s="29">
        <f>1122+34+10</f>
        <v>1166</v>
      </c>
      <c r="D29" s="29">
        <f t="shared" si="0"/>
        <v>1299</v>
      </c>
      <c r="E29" s="30">
        <f t="shared" si="1"/>
        <v>10.238645111624326</v>
      </c>
      <c r="F29" s="31">
        <f t="shared" si="2"/>
        <v>0.76652996193904344</v>
      </c>
    </row>
    <row r="30" spans="1:6">
      <c r="A30" s="40" t="s">
        <v>22</v>
      </c>
      <c r="B30" s="28">
        <f>520+70</f>
        <v>590</v>
      </c>
      <c r="C30" s="29">
        <f>475+21</f>
        <v>496</v>
      </c>
      <c r="D30" s="29">
        <f t="shared" si="0"/>
        <v>1086</v>
      </c>
      <c r="E30" s="30">
        <f t="shared" si="1"/>
        <v>54.32780847145488</v>
      </c>
      <c r="F30" s="31">
        <f t="shared" si="2"/>
        <v>0.64084029150562061</v>
      </c>
    </row>
    <row r="31" spans="1:6">
      <c r="A31" s="40" t="s">
        <v>23</v>
      </c>
      <c r="B31" s="28">
        <f>95+11+34+12+53+29+49+39</f>
        <v>322</v>
      </c>
      <c r="C31" s="29">
        <f>243+83+26+24+65+36+37+1+3</f>
        <v>518</v>
      </c>
      <c r="D31" s="29">
        <f t="shared" si="0"/>
        <v>840</v>
      </c>
      <c r="E31" s="30">
        <f t="shared" si="1"/>
        <v>38.333333333333336</v>
      </c>
      <c r="F31" s="31">
        <f t="shared" si="2"/>
        <v>0.49567757354025904</v>
      </c>
    </row>
    <row r="32" spans="1:6">
      <c r="A32" s="40" t="s">
        <v>24</v>
      </c>
      <c r="B32" s="28">
        <f>168+29+45+4</f>
        <v>246</v>
      </c>
      <c r="C32" s="29">
        <f>792+93+163+8</f>
        <v>1056</v>
      </c>
      <c r="D32" s="29">
        <f t="shared" si="0"/>
        <v>1302</v>
      </c>
      <c r="E32" s="30">
        <f t="shared" si="1"/>
        <v>18.894009216589861</v>
      </c>
      <c r="F32" s="31">
        <f t="shared" si="2"/>
        <v>0.76830023898740152</v>
      </c>
    </row>
    <row r="33" spans="1:6">
      <c r="A33" s="40" t="s">
        <v>25</v>
      </c>
      <c r="B33" s="28">
        <f>213+32+59</f>
        <v>304</v>
      </c>
      <c r="C33" s="29">
        <f>599+86+109</f>
        <v>794</v>
      </c>
      <c r="D33" s="29">
        <f t="shared" si="0"/>
        <v>1098</v>
      </c>
      <c r="E33" s="30">
        <f t="shared" si="1"/>
        <v>27.686703096539162</v>
      </c>
      <c r="F33" s="31">
        <f t="shared" si="2"/>
        <v>0.64792139969905294</v>
      </c>
    </row>
    <row r="34" spans="1:6">
      <c r="A34" s="40" t="s">
        <v>26</v>
      </c>
      <c r="B34" s="28">
        <f>18+5+2+3+1</f>
        <v>29</v>
      </c>
      <c r="C34" s="29">
        <f>115+11+18+9+2</f>
        <v>155</v>
      </c>
      <c r="D34" s="29">
        <f t="shared" si="0"/>
        <v>184</v>
      </c>
      <c r="E34" s="30">
        <f t="shared" si="1"/>
        <v>15.760869565217391</v>
      </c>
      <c r="F34" s="31">
        <f t="shared" si="2"/>
        <v>0.10857699229929484</v>
      </c>
    </row>
    <row r="35" spans="1:6">
      <c r="A35" s="40" t="s">
        <v>27</v>
      </c>
      <c r="B35" s="28">
        <f>4840+2642+305+190+319</f>
        <v>8296</v>
      </c>
      <c r="C35" s="29">
        <f>23542+831+453+412+505</f>
        <v>25743</v>
      </c>
      <c r="D35" s="29">
        <f t="shared" si="0"/>
        <v>34039</v>
      </c>
      <c r="E35" s="30">
        <f t="shared" si="1"/>
        <v>24.372043832074972</v>
      </c>
      <c r="F35" s="31">
        <f t="shared" si="2"/>
        <v>20.086153483020091</v>
      </c>
    </row>
    <row r="36" spans="1:6">
      <c r="A36" s="40" t="s">
        <v>28</v>
      </c>
      <c r="B36" s="28">
        <f>2</f>
        <v>2</v>
      </c>
      <c r="C36" s="29">
        <f>371+13+9</f>
        <v>393</v>
      </c>
      <c r="D36" s="29">
        <f t="shared" si="0"/>
        <v>395</v>
      </c>
      <c r="E36" s="30">
        <f t="shared" si="1"/>
        <v>0.50632911392405067</v>
      </c>
      <c r="F36" s="31">
        <f t="shared" si="2"/>
        <v>0.2330864780338123</v>
      </c>
    </row>
    <row r="37" spans="1:6">
      <c r="A37" s="40" t="s">
        <v>29</v>
      </c>
      <c r="B37" s="28">
        <f>100+67+157+103</f>
        <v>427</v>
      </c>
      <c r="C37" s="29">
        <f>372+112+164+94</f>
        <v>742</v>
      </c>
      <c r="D37" s="29">
        <f t="shared" si="0"/>
        <v>1169</v>
      </c>
      <c r="E37" s="30">
        <f t="shared" si="1"/>
        <v>36.526946107784433</v>
      </c>
      <c r="F37" s="31">
        <f t="shared" si="2"/>
        <v>0.68981795651019384</v>
      </c>
    </row>
    <row r="38" spans="1:6">
      <c r="A38" s="40" t="s">
        <v>53</v>
      </c>
      <c r="B38" s="28">
        <f>606+29+45+40</f>
        <v>720</v>
      </c>
      <c r="C38" s="29">
        <f>1182+36+42+66</f>
        <v>1326</v>
      </c>
      <c r="D38" s="29">
        <f t="shared" si="0"/>
        <v>2046</v>
      </c>
      <c r="E38" s="30">
        <f t="shared" si="1"/>
        <v>35.190615835777123</v>
      </c>
      <c r="F38" s="31">
        <f t="shared" si="2"/>
        <v>1.2073289469802024</v>
      </c>
    </row>
    <row r="39" spans="1:6">
      <c r="A39" s="40" t="s">
        <v>30</v>
      </c>
      <c r="B39" s="28">
        <f>193+20+9</f>
        <v>222</v>
      </c>
      <c r="C39" s="29">
        <f>644+97+73</f>
        <v>814</v>
      </c>
      <c r="D39" s="29">
        <f t="shared" si="0"/>
        <v>1036</v>
      </c>
      <c r="E39" s="30">
        <f t="shared" si="1"/>
        <v>21.428571428571427</v>
      </c>
      <c r="F39" s="31">
        <f t="shared" si="2"/>
        <v>0.61133567403298616</v>
      </c>
    </row>
    <row r="40" spans="1:6">
      <c r="A40" s="40" t="s">
        <v>31</v>
      </c>
      <c r="B40" s="28">
        <f>59+23+10+3</f>
        <v>95</v>
      </c>
      <c r="C40" s="29">
        <f>1646+390+102+97+1</f>
        <v>2236</v>
      </c>
      <c r="D40" s="29">
        <f t="shared" si="0"/>
        <v>2331</v>
      </c>
      <c r="E40" s="30">
        <f t="shared" si="1"/>
        <v>4.0755040755040755</v>
      </c>
      <c r="F40" s="31">
        <f t="shared" si="2"/>
        <v>1.3755052665742189</v>
      </c>
    </row>
    <row r="41" spans="1:6">
      <c r="A41" s="40" t="s">
        <v>32</v>
      </c>
      <c r="B41" s="28">
        <f>128+4+5</f>
        <v>137</v>
      </c>
      <c r="C41" s="29">
        <f>2873+46+52</f>
        <v>2971</v>
      </c>
      <c r="D41" s="29">
        <f t="shared" si="0"/>
        <v>3108</v>
      </c>
      <c r="E41" s="30">
        <f t="shared" si="1"/>
        <v>4.4079794079794077</v>
      </c>
      <c r="F41" s="31">
        <f t="shared" si="2"/>
        <v>1.8340070220989584</v>
      </c>
    </row>
    <row r="42" spans="1:6">
      <c r="A42" s="40" t="s">
        <v>33</v>
      </c>
      <c r="B42" s="28">
        <v>61</v>
      </c>
      <c r="C42" s="29">
        <v>170</v>
      </c>
      <c r="D42" s="29">
        <f t="shared" si="0"/>
        <v>231</v>
      </c>
      <c r="E42" s="30">
        <f t="shared" si="1"/>
        <v>26.406926406926406</v>
      </c>
      <c r="F42" s="31">
        <f t="shared" si="2"/>
        <v>0.13631133272357124</v>
      </c>
    </row>
    <row r="43" spans="1:6">
      <c r="A43" s="40" t="s">
        <v>34</v>
      </c>
      <c r="B43" s="28">
        <f>103+14+17+19</f>
        <v>153</v>
      </c>
      <c r="C43" s="29">
        <f>508+49+55+51</f>
        <v>663</v>
      </c>
      <c r="D43" s="29">
        <f t="shared" si="0"/>
        <v>816</v>
      </c>
      <c r="E43" s="30">
        <f t="shared" si="1"/>
        <v>18.75</v>
      </c>
      <c r="F43" s="31">
        <f t="shared" si="2"/>
        <v>0.4815153571533945</v>
      </c>
    </row>
    <row r="44" spans="1:6">
      <c r="A44" s="40" t="s">
        <v>35</v>
      </c>
      <c r="B44" s="28">
        <f>98+79+108+47+3</f>
        <v>335</v>
      </c>
      <c r="C44" s="29">
        <f>1126+160+264+93+24</f>
        <v>1667</v>
      </c>
      <c r="D44" s="29">
        <f t="shared" si="0"/>
        <v>2002</v>
      </c>
      <c r="E44" s="30">
        <f t="shared" si="1"/>
        <v>16.733266733266735</v>
      </c>
      <c r="F44" s="31">
        <f t="shared" si="2"/>
        <v>1.181364883604284</v>
      </c>
    </row>
    <row r="45" spans="1:6">
      <c r="A45" s="40" t="s">
        <v>36</v>
      </c>
      <c r="B45" s="28">
        <f>95+15+17</f>
        <v>127</v>
      </c>
      <c r="C45" s="29">
        <f>883+234+140+1</f>
        <v>1258</v>
      </c>
      <c r="D45" s="29">
        <f t="shared" si="0"/>
        <v>1385</v>
      </c>
      <c r="E45" s="30">
        <f t="shared" si="1"/>
        <v>9.1696750902527082</v>
      </c>
      <c r="F45" s="31">
        <f t="shared" si="2"/>
        <v>0.81727790399197475</v>
      </c>
    </row>
    <row r="46" spans="1:6">
      <c r="A46" s="40" t="s">
        <v>37</v>
      </c>
      <c r="B46" s="28">
        <f>2+1</f>
        <v>3</v>
      </c>
      <c r="C46" s="29">
        <f>72</f>
        <v>72</v>
      </c>
      <c r="D46" s="29">
        <f t="shared" si="0"/>
        <v>75</v>
      </c>
      <c r="E46" s="30">
        <f t="shared" si="1"/>
        <v>4</v>
      </c>
      <c r="F46" s="31">
        <f t="shared" si="2"/>
        <v>4.4256926208951698E-2</v>
      </c>
    </row>
    <row r="47" spans="1:6">
      <c r="A47" s="40" t="s">
        <v>38</v>
      </c>
      <c r="B47" s="28">
        <f>184+19+25+27+32</f>
        <v>287</v>
      </c>
      <c r="C47" s="29">
        <f>1589+99+114+101+72</f>
        <v>1975</v>
      </c>
      <c r="D47" s="29">
        <f t="shared" si="0"/>
        <v>2262</v>
      </c>
      <c r="E47" s="30">
        <f t="shared" si="1"/>
        <v>12.687886825817861</v>
      </c>
      <c r="F47" s="31">
        <f t="shared" si="2"/>
        <v>1.3347888944619832</v>
      </c>
    </row>
    <row r="48" spans="1:6">
      <c r="A48" s="40" t="s">
        <v>39</v>
      </c>
      <c r="B48" s="28">
        <f>97+28+42+11</f>
        <v>178</v>
      </c>
      <c r="C48" s="29">
        <f>338+49+69+27</f>
        <v>483</v>
      </c>
      <c r="D48" s="29">
        <f t="shared" si="0"/>
        <v>661</v>
      </c>
      <c r="E48" s="30">
        <f t="shared" si="1"/>
        <v>26.928895612708018</v>
      </c>
      <c r="F48" s="31">
        <f t="shared" si="2"/>
        <v>0.39005104298822768</v>
      </c>
    </row>
    <row r="49" spans="1:7">
      <c r="A49" s="40" t="s">
        <v>40</v>
      </c>
      <c r="B49" s="28">
        <f>165+29+67+272</f>
        <v>533</v>
      </c>
      <c r="C49" s="29">
        <f>667+70+127+313</f>
        <v>1177</v>
      </c>
      <c r="D49" s="29">
        <f t="shared" si="0"/>
        <v>1710</v>
      </c>
      <c r="E49" s="30">
        <f t="shared" si="1"/>
        <v>31.169590643274855</v>
      </c>
      <c r="F49" s="31">
        <f t="shared" si="2"/>
        <v>1.0090579175640988</v>
      </c>
    </row>
    <row r="50" spans="1:7">
      <c r="A50" s="40" t="s">
        <v>41</v>
      </c>
      <c r="B50" s="28">
        <f>17+5+3+4+1</f>
        <v>30</v>
      </c>
      <c r="C50" s="29">
        <f>158+20+27+22+5</f>
        <v>232</v>
      </c>
      <c r="D50" s="29">
        <f t="shared" si="0"/>
        <v>262</v>
      </c>
      <c r="E50" s="30">
        <f t="shared" si="1"/>
        <v>11.450381679389313</v>
      </c>
      <c r="F50" s="31">
        <f t="shared" si="2"/>
        <v>0.1546041955566046</v>
      </c>
    </row>
    <row r="51" spans="1:7">
      <c r="A51" s="40" t="s">
        <v>42</v>
      </c>
      <c r="B51" s="28">
        <f>85+8+3</f>
        <v>96</v>
      </c>
      <c r="C51" s="29">
        <f>460+18+21</f>
        <v>499</v>
      </c>
      <c r="D51" s="29">
        <f t="shared" si="0"/>
        <v>595</v>
      </c>
      <c r="E51" s="30">
        <f t="shared" si="1"/>
        <v>16.134453781512605</v>
      </c>
      <c r="F51" s="31">
        <f t="shared" si="2"/>
        <v>0.35110494792435015</v>
      </c>
      <c r="G51" s="17"/>
    </row>
    <row r="52" spans="1:7">
      <c r="A52" s="40" t="s">
        <v>43</v>
      </c>
      <c r="B52" s="28">
        <f>173+5+2</f>
        <v>180</v>
      </c>
      <c r="C52" s="29">
        <f>3034+23+9</f>
        <v>3066</v>
      </c>
      <c r="D52" s="29">
        <f t="shared" si="0"/>
        <v>3246</v>
      </c>
      <c r="E52" s="30">
        <f t="shared" si="1"/>
        <v>5.5452865064695009</v>
      </c>
      <c r="F52" s="31">
        <f t="shared" si="2"/>
        <v>1.9154397663234297</v>
      </c>
    </row>
    <row r="53" spans="1:7">
      <c r="A53" s="40" t="s">
        <v>44</v>
      </c>
      <c r="B53" s="28">
        <f>105+4+8</f>
        <v>117</v>
      </c>
      <c r="C53" s="29">
        <f>1063+13+7</f>
        <v>1083</v>
      </c>
      <c r="D53" s="29">
        <f t="shared" si="0"/>
        <v>1200</v>
      </c>
      <c r="E53" s="30">
        <f t="shared" si="1"/>
        <v>9.75</v>
      </c>
      <c r="F53" s="31">
        <f t="shared" si="2"/>
        <v>0.70811081934322717</v>
      </c>
    </row>
    <row r="54" spans="1:7">
      <c r="A54" s="40" t="s">
        <v>45</v>
      </c>
      <c r="B54" s="28">
        <f>220+8+19+6</f>
        <v>253</v>
      </c>
      <c r="C54" s="29">
        <f>1121+23+35+14</f>
        <v>1193</v>
      </c>
      <c r="D54" s="29">
        <f t="shared" si="0"/>
        <v>1446</v>
      </c>
      <c r="E54" s="30">
        <f t="shared" si="1"/>
        <v>17.496542185338864</v>
      </c>
      <c r="F54" s="31">
        <f t="shared" si="2"/>
        <v>0.85327353730858879</v>
      </c>
    </row>
    <row r="55" spans="1:7">
      <c r="A55" s="40" t="s">
        <v>46</v>
      </c>
      <c r="B55" s="28">
        <f>244+34+18+10</f>
        <v>306</v>
      </c>
      <c r="C55" s="29">
        <f>345+81+109+14</f>
        <v>549</v>
      </c>
      <c r="D55" s="29">
        <f t="shared" si="0"/>
        <v>855</v>
      </c>
      <c r="E55" s="30">
        <f t="shared" si="1"/>
        <v>35.789473684210527</v>
      </c>
      <c r="F55" s="31">
        <f t="shared" si="2"/>
        <v>0.5045289587820494</v>
      </c>
    </row>
    <row r="56" spans="1:7">
      <c r="A56" s="12"/>
      <c r="B56" s="34">
        <f>SUM(B6:B55)</f>
        <v>31698</v>
      </c>
      <c r="C56" s="35">
        <f>SUM(C6:C55)</f>
        <v>137767</v>
      </c>
      <c r="D56" s="35">
        <f>SUM(D6:D55)</f>
        <v>169465</v>
      </c>
      <c r="E56" s="36" t="s">
        <v>57</v>
      </c>
      <c r="F56" s="14"/>
    </row>
    <row r="57" spans="1:7">
      <c r="A57" s="12"/>
      <c r="B57" s="13"/>
      <c r="C57" s="2"/>
      <c r="D57" s="2"/>
      <c r="E57" s="15"/>
      <c r="F57" s="1"/>
    </row>
  </sheetData>
  <mergeCells count="3">
    <mergeCell ref="A1:F1"/>
    <mergeCell ref="A2:F2"/>
    <mergeCell ref="B4:F4"/>
  </mergeCells>
  <phoneticPr fontId="6" type="noConversion"/>
  <pageMargins left="0.75" right="0.75" top="1" bottom="1" header="0" footer="0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zoomScaleNormal="100" zoomScaleSheetLayoutView="100" workbookViewId="0">
      <selection activeCell="C21" sqref="C21"/>
    </sheetView>
  </sheetViews>
  <sheetFormatPr defaultColWidth="11.42578125" defaultRowHeight="12.75"/>
  <cols>
    <col min="1" max="1" width="24.7109375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59</v>
      </c>
      <c r="B2" s="155"/>
      <c r="C2" s="155"/>
      <c r="D2" s="155"/>
      <c r="E2" s="155"/>
      <c r="F2" s="155"/>
    </row>
    <row r="3" spans="1:6" ht="15">
      <c r="A3" s="156" t="s">
        <v>77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40" t="s">
        <v>0</v>
      </c>
      <c r="B7" s="28">
        <f>330+12+7</f>
        <v>349</v>
      </c>
      <c r="C7" s="29">
        <f>2255+40+18</f>
        <v>2313</v>
      </c>
      <c r="D7" s="29">
        <f>B7+C7</f>
        <v>2662</v>
      </c>
      <c r="E7" s="30">
        <f>B7*100/D7</f>
        <v>13.110443275732532</v>
      </c>
      <c r="F7" s="31">
        <f>(D7/$D$57)*100</f>
        <v>1.647980882926497</v>
      </c>
    </row>
    <row r="8" spans="1:6">
      <c r="A8" s="40" t="s">
        <v>1</v>
      </c>
      <c r="B8" s="28">
        <f>308+4</f>
        <v>312</v>
      </c>
      <c r="C8" s="29">
        <f>1757+46+30</f>
        <v>1833</v>
      </c>
      <c r="D8" s="29">
        <f>B8+C8</f>
        <v>2145</v>
      </c>
      <c r="E8" s="30">
        <f t="shared" ref="E8:E56" si="0">B8*100/D8</f>
        <v>14.545454545454545</v>
      </c>
      <c r="F8" s="31">
        <f t="shared" ref="F8:F56" si="1">(D8/$D$57)*100</f>
        <v>1.3279184800440782</v>
      </c>
    </row>
    <row r="9" spans="1:6">
      <c r="A9" s="40" t="s">
        <v>2</v>
      </c>
      <c r="B9" s="28">
        <f>244+135+152+29</f>
        <v>560</v>
      </c>
      <c r="C9" s="29">
        <f>1218+157+182+33</f>
        <v>1590</v>
      </c>
      <c r="D9" s="29">
        <f t="shared" ref="D9:D56" si="2">B9+C9</f>
        <v>2150</v>
      </c>
      <c r="E9" s="30">
        <f t="shared" si="0"/>
        <v>26.046511627906977</v>
      </c>
      <c r="F9" s="31">
        <f t="shared" si="1"/>
        <v>1.3310138611164419</v>
      </c>
    </row>
    <row r="10" spans="1:6">
      <c r="A10" s="40" t="s">
        <v>3</v>
      </c>
      <c r="B10" s="28">
        <f>39+1</f>
        <v>40</v>
      </c>
      <c r="C10" s="37">
        <f>672+18+8+7</f>
        <v>705</v>
      </c>
      <c r="D10" s="29">
        <f t="shared" si="2"/>
        <v>745</v>
      </c>
      <c r="E10" s="30">
        <f t="shared" si="0"/>
        <v>5.3691275167785237</v>
      </c>
      <c r="F10" s="31">
        <f t="shared" si="1"/>
        <v>0.46121177978220901</v>
      </c>
    </row>
    <row r="11" spans="1:6">
      <c r="A11" s="40" t="s">
        <v>4</v>
      </c>
      <c r="B11" s="28">
        <f>54+21+20+3</f>
        <v>98</v>
      </c>
      <c r="C11" s="29">
        <f>151+12+25+2</f>
        <v>190</v>
      </c>
      <c r="D11" s="29">
        <f t="shared" si="2"/>
        <v>288</v>
      </c>
      <c r="E11" s="30">
        <f t="shared" si="0"/>
        <v>34.027777777777779</v>
      </c>
      <c r="F11" s="31">
        <f t="shared" si="1"/>
        <v>0.17829394976815593</v>
      </c>
    </row>
    <row r="12" spans="1:6">
      <c r="A12" s="40" t="s">
        <v>5</v>
      </c>
      <c r="B12" s="28">
        <f>1428+778+735</f>
        <v>2941</v>
      </c>
      <c r="C12" s="29">
        <f>4088+829+669</f>
        <v>5586</v>
      </c>
      <c r="D12" s="29">
        <f t="shared" si="2"/>
        <v>8527</v>
      </c>
      <c r="E12" s="30">
        <f t="shared" si="0"/>
        <v>34.49044212501466</v>
      </c>
      <c r="F12" s="31">
        <f t="shared" si="1"/>
        <v>5.2788628808092559</v>
      </c>
    </row>
    <row r="13" spans="1:6">
      <c r="A13" s="40" t="s">
        <v>6</v>
      </c>
      <c r="B13" s="28">
        <f>329+195+293+260</f>
        <v>1077</v>
      </c>
      <c r="C13" s="29">
        <f>1710+327+488+269</f>
        <v>2794</v>
      </c>
      <c r="D13" s="29">
        <f t="shared" si="2"/>
        <v>3871</v>
      </c>
      <c r="E13" s="30">
        <f t="shared" si="0"/>
        <v>27.822268147765435</v>
      </c>
      <c r="F13" s="31">
        <f t="shared" si="1"/>
        <v>2.3964440262240685</v>
      </c>
    </row>
    <row r="14" spans="1:6">
      <c r="A14" s="40" t="s">
        <v>7</v>
      </c>
      <c r="B14" s="28">
        <f>103+58+99</f>
        <v>260</v>
      </c>
      <c r="C14" s="29">
        <f>132+5+4</f>
        <v>141</v>
      </c>
      <c r="D14" s="29">
        <f t="shared" si="2"/>
        <v>401</v>
      </c>
      <c r="E14" s="30">
        <f t="shared" si="0"/>
        <v>64.83790523690773</v>
      </c>
      <c r="F14" s="31">
        <f t="shared" si="1"/>
        <v>0.24824956200357826</v>
      </c>
    </row>
    <row r="15" spans="1:6">
      <c r="A15" s="40" t="s">
        <v>54</v>
      </c>
      <c r="B15" s="28">
        <v>8</v>
      </c>
      <c r="C15" s="29">
        <f>71+1</f>
        <v>72</v>
      </c>
      <c r="D15" s="29">
        <f t="shared" si="2"/>
        <v>80</v>
      </c>
      <c r="E15" s="30">
        <f t="shared" si="0"/>
        <v>10</v>
      </c>
      <c r="F15" s="31">
        <f t="shared" si="1"/>
        <v>4.9526097157821095E-2</v>
      </c>
    </row>
    <row r="16" spans="1:6">
      <c r="A16" s="40" t="s">
        <v>8</v>
      </c>
      <c r="B16" s="28">
        <f>526+12+6+6+21</f>
        <v>571</v>
      </c>
      <c r="C16" s="29">
        <f>3341+141+95+42+74</f>
        <v>3693</v>
      </c>
      <c r="D16" s="29">
        <f t="shared" si="2"/>
        <v>4264</v>
      </c>
      <c r="E16" s="30">
        <f t="shared" si="0"/>
        <v>13.391181988742964</v>
      </c>
      <c r="F16" s="31">
        <f t="shared" si="1"/>
        <v>2.6397409785118646</v>
      </c>
    </row>
    <row r="17" spans="1:6">
      <c r="A17" s="40" t="s">
        <v>9</v>
      </c>
      <c r="B17" s="28">
        <f>11+3+1</f>
        <v>15</v>
      </c>
      <c r="C17" s="29">
        <f>116+23+12+2</f>
        <v>153</v>
      </c>
      <c r="D17" s="29">
        <f t="shared" si="2"/>
        <v>168</v>
      </c>
      <c r="E17" s="30">
        <f t="shared" si="0"/>
        <v>8.9285714285714288</v>
      </c>
      <c r="F17" s="31">
        <f t="shared" si="1"/>
        <v>0.1040048040314243</v>
      </c>
    </row>
    <row r="18" spans="1:6">
      <c r="A18" s="40" t="s">
        <v>10</v>
      </c>
      <c r="B18" s="28">
        <f>72+4+7</f>
        <v>83</v>
      </c>
      <c r="C18" s="29">
        <f>17712+126+141+15</f>
        <v>17994</v>
      </c>
      <c r="D18" s="29">
        <f t="shared" si="2"/>
        <v>18077</v>
      </c>
      <c r="E18" s="30">
        <f t="shared" si="0"/>
        <v>0.45914698235326656</v>
      </c>
      <c r="F18" s="31">
        <f t="shared" si="1"/>
        <v>11.19104072902415</v>
      </c>
    </row>
    <row r="19" spans="1:6">
      <c r="A19" s="40" t="s">
        <v>11</v>
      </c>
      <c r="B19" s="28">
        <f>191+16+17</f>
        <v>224</v>
      </c>
      <c r="C19" s="29">
        <f>5914+259+264</f>
        <v>6437</v>
      </c>
      <c r="D19" s="29">
        <f t="shared" si="2"/>
        <v>6661</v>
      </c>
      <c r="E19" s="30">
        <f t="shared" si="0"/>
        <v>3.3628584296652155</v>
      </c>
      <c r="F19" s="31">
        <f t="shared" si="1"/>
        <v>4.1236666646030793</v>
      </c>
    </row>
    <row r="20" spans="1:6">
      <c r="A20" s="40" t="s">
        <v>12</v>
      </c>
      <c r="B20" s="28">
        <f>34+626+3+1+1</f>
        <v>665</v>
      </c>
      <c r="C20" s="29"/>
      <c r="D20" s="29">
        <f t="shared" si="2"/>
        <v>665</v>
      </c>
      <c r="E20" s="30">
        <f t="shared" si="0"/>
        <v>100</v>
      </c>
      <c r="F20" s="31">
        <f t="shared" si="1"/>
        <v>0.41168568262438793</v>
      </c>
    </row>
    <row r="21" spans="1:6">
      <c r="A21" s="40" t="s">
        <v>13</v>
      </c>
      <c r="B21" s="28">
        <f>1722+79+61+23</f>
        <v>1885</v>
      </c>
      <c r="C21" s="29">
        <f>2532+102+52+42</f>
        <v>2728</v>
      </c>
      <c r="D21" s="29">
        <f t="shared" si="2"/>
        <v>4613</v>
      </c>
      <c r="E21" s="30">
        <f t="shared" si="0"/>
        <v>40.862779102536308</v>
      </c>
      <c r="F21" s="31">
        <f t="shared" si="1"/>
        <v>2.8557985773628594</v>
      </c>
    </row>
    <row r="22" spans="1:6">
      <c r="A22" s="40" t="s">
        <v>52</v>
      </c>
      <c r="B22" s="28">
        <f>126+7+9+3</f>
        <v>145</v>
      </c>
      <c r="C22" s="29">
        <f>360+12+10+4+3</f>
        <v>389</v>
      </c>
      <c r="D22" s="29">
        <f t="shared" si="2"/>
        <v>534</v>
      </c>
      <c r="E22" s="30">
        <f t="shared" si="0"/>
        <v>27.153558052434455</v>
      </c>
      <c r="F22" s="31">
        <f t="shared" si="1"/>
        <v>0.33058669852845585</v>
      </c>
    </row>
    <row r="23" spans="1:6">
      <c r="A23" s="40" t="s">
        <v>15</v>
      </c>
      <c r="B23" s="28"/>
      <c r="C23" s="29"/>
      <c r="D23" s="29"/>
      <c r="E23" s="30"/>
      <c r="F23" s="31">
        <f t="shared" si="1"/>
        <v>0</v>
      </c>
    </row>
    <row r="24" spans="1:6">
      <c r="A24" s="40" t="s">
        <v>16</v>
      </c>
      <c r="B24" s="28"/>
      <c r="C24" s="29"/>
      <c r="D24" s="29"/>
      <c r="E24" s="30"/>
      <c r="F24" s="31">
        <f t="shared" si="1"/>
        <v>0</v>
      </c>
    </row>
    <row r="25" spans="1:6">
      <c r="A25" s="40" t="s">
        <v>17</v>
      </c>
      <c r="B25" s="28">
        <f>748+469+789+361</f>
        <v>2367</v>
      </c>
      <c r="C25" s="29">
        <f>6622+3663+4794+2610</f>
        <v>17689</v>
      </c>
      <c r="D25" s="29">
        <f t="shared" si="2"/>
        <v>20056</v>
      </c>
      <c r="E25" s="30">
        <f t="shared" si="0"/>
        <v>11.801954527323494</v>
      </c>
      <c r="F25" s="31">
        <f t="shared" si="1"/>
        <v>12.416192557465749</v>
      </c>
    </row>
    <row r="26" spans="1:6">
      <c r="A26" s="40" t="s">
        <v>18</v>
      </c>
      <c r="B26" s="28">
        <f>45+13+6</f>
        <v>64</v>
      </c>
      <c r="C26" s="29">
        <f>1047+43+1</f>
        <v>1091</v>
      </c>
      <c r="D26" s="29">
        <f t="shared" si="2"/>
        <v>1155</v>
      </c>
      <c r="E26" s="30">
        <f t="shared" si="0"/>
        <v>5.5411255411255409</v>
      </c>
      <c r="F26" s="31">
        <f t="shared" si="1"/>
        <v>0.71503302771604216</v>
      </c>
    </row>
    <row r="27" spans="1:6">
      <c r="A27" s="40" t="s">
        <v>19</v>
      </c>
      <c r="B27" s="28">
        <f>92+75+95+20</f>
        <v>282</v>
      </c>
      <c r="C27" s="29">
        <f>3+1</f>
        <v>4</v>
      </c>
      <c r="D27" s="29">
        <f t="shared" si="2"/>
        <v>286</v>
      </c>
      <c r="E27" s="30">
        <f t="shared" si="0"/>
        <v>98.6013986013986</v>
      </c>
      <c r="F27" s="31">
        <f t="shared" si="1"/>
        <v>0.17705579733921045</v>
      </c>
    </row>
    <row r="28" spans="1:6">
      <c r="A28" s="40" t="s">
        <v>20</v>
      </c>
      <c r="B28" s="28">
        <f>6098+127+205+73+301</f>
        <v>6804</v>
      </c>
      <c r="C28" s="29">
        <f>11558+228+306+115+376</f>
        <v>12583</v>
      </c>
      <c r="D28" s="29">
        <f t="shared" si="2"/>
        <v>19387</v>
      </c>
      <c r="E28" s="30">
        <f t="shared" si="0"/>
        <v>35.095682673956773</v>
      </c>
      <c r="F28" s="31">
        <f t="shared" si="1"/>
        <v>12.002030569983472</v>
      </c>
    </row>
    <row r="29" spans="1:6">
      <c r="A29" s="40" t="s">
        <v>21</v>
      </c>
      <c r="B29" s="28">
        <f>5+1</f>
        <v>6</v>
      </c>
      <c r="C29" s="29">
        <f>97+13+5+11+2</f>
        <v>128</v>
      </c>
      <c r="D29" s="29">
        <f t="shared" si="2"/>
        <v>134</v>
      </c>
      <c r="E29" s="30">
        <f t="shared" si="0"/>
        <v>4.4776119402985071</v>
      </c>
      <c r="F29" s="31">
        <f t="shared" si="1"/>
        <v>8.2956212739350346E-2</v>
      </c>
    </row>
    <row r="30" spans="1:6">
      <c r="A30" s="40" t="s">
        <v>48</v>
      </c>
      <c r="B30" s="28">
        <f>153+13+1</f>
        <v>167</v>
      </c>
      <c r="C30" s="29">
        <f>1116+29+9</f>
        <v>1154</v>
      </c>
      <c r="D30" s="29">
        <f t="shared" si="2"/>
        <v>1321</v>
      </c>
      <c r="E30" s="30">
        <f t="shared" si="0"/>
        <v>12.641937925813778</v>
      </c>
      <c r="F30" s="31">
        <f t="shared" si="1"/>
        <v>0.81779967931852082</v>
      </c>
    </row>
    <row r="31" spans="1:6">
      <c r="A31" s="40" t="s">
        <v>22</v>
      </c>
      <c r="B31" s="28">
        <f>525+75+64+67+50</f>
        <v>781</v>
      </c>
      <c r="C31" s="29">
        <f>588+29+23+17+19</f>
        <v>676</v>
      </c>
      <c r="D31" s="29">
        <f t="shared" si="2"/>
        <v>1457</v>
      </c>
      <c r="E31" s="30">
        <f t="shared" si="0"/>
        <v>53.603294440631437</v>
      </c>
      <c r="F31" s="31">
        <f t="shared" si="1"/>
        <v>0.90199404448681675</v>
      </c>
    </row>
    <row r="32" spans="1:6">
      <c r="A32" s="40" t="s">
        <v>23</v>
      </c>
      <c r="B32" s="28">
        <f>106+12+19+17+67+64+26+19</f>
        <v>330</v>
      </c>
      <c r="C32" s="29">
        <f>238+48+36+17+40+32+33+29</f>
        <v>473</v>
      </c>
      <c r="D32" s="29">
        <f t="shared" si="2"/>
        <v>803</v>
      </c>
      <c r="E32" s="30">
        <f t="shared" si="0"/>
        <v>41.095890410958901</v>
      </c>
      <c r="F32" s="31">
        <f t="shared" si="1"/>
        <v>0.49711820022162923</v>
      </c>
    </row>
    <row r="33" spans="1:6">
      <c r="A33" s="40" t="s">
        <v>24</v>
      </c>
      <c r="B33" s="28">
        <f>177+26+39+5</f>
        <v>247</v>
      </c>
      <c r="C33" s="29">
        <f>839+111+121+13</f>
        <v>1084</v>
      </c>
      <c r="D33" s="29">
        <f t="shared" si="2"/>
        <v>1331</v>
      </c>
      <c r="E33" s="30">
        <f t="shared" si="0"/>
        <v>18.557475582268971</v>
      </c>
      <c r="F33" s="31">
        <f t="shared" si="1"/>
        <v>0.82399044146324851</v>
      </c>
    </row>
    <row r="34" spans="1:6">
      <c r="A34" s="40" t="s">
        <v>25</v>
      </c>
      <c r="B34" s="28">
        <f>226+40+70</f>
        <v>336</v>
      </c>
      <c r="C34" s="29">
        <f>634+81+146</f>
        <v>861</v>
      </c>
      <c r="D34" s="29">
        <f t="shared" si="2"/>
        <v>1197</v>
      </c>
      <c r="E34" s="30">
        <f t="shared" si="0"/>
        <v>28.07017543859649</v>
      </c>
      <c r="F34" s="31">
        <f t="shared" si="1"/>
        <v>0.74103422872389824</v>
      </c>
    </row>
    <row r="35" spans="1:6">
      <c r="A35" s="40" t="s">
        <v>26</v>
      </c>
      <c r="B35" s="28">
        <f>32+7+2</f>
        <v>41</v>
      </c>
      <c r="C35" s="29">
        <f>171+20+20</f>
        <v>211</v>
      </c>
      <c r="D35" s="29">
        <f t="shared" si="2"/>
        <v>252</v>
      </c>
      <c r="E35" s="30">
        <f t="shared" si="0"/>
        <v>16.269841269841269</v>
      </c>
      <c r="F35" s="31">
        <f t="shared" si="1"/>
        <v>0.15600720604713647</v>
      </c>
    </row>
    <row r="36" spans="1:6">
      <c r="A36" s="40" t="s">
        <v>27</v>
      </c>
      <c r="B36" s="28">
        <f>8070+130+154+105+102+413</f>
        <v>8974</v>
      </c>
      <c r="C36" s="29">
        <f>20727+251+277+75+68+358</f>
        <v>21756</v>
      </c>
      <c r="D36" s="29">
        <f t="shared" si="2"/>
        <v>30730</v>
      </c>
      <c r="E36" s="30">
        <f t="shared" si="0"/>
        <v>29.202733485193622</v>
      </c>
      <c r="F36" s="31">
        <f t="shared" si="1"/>
        <v>19.024212070748032</v>
      </c>
    </row>
    <row r="37" spans="1:6">
      <c r="A37" s="40" t="s">
        <v>28</v>
      </c>
      <c r="B37" s="28">
        <v>1</v>
      </c>
      <c r="C37" s="29">
        <f>385+10+10</f>
        <v>405</v>
      </c>
      <c r="D37" s="29">
        <f t="shared" si="2"/>
        <v>406</v>
      </c>
      <c r="E37" s="30">
        <f t="shared" si="0"/>
        <v>0.24630541871921183</v>
      </c>
      <c r="F37" s="31">
        <f t="shared" si="1"/>
        <v>0.25134494307594207</v>
      </c>
    </row>
    <row r="38" spans="1:6">
      <c r="A38" s="40" t="s">
        <v>29</v>
      </c>
      <c r="B38" s="28">
        <f>141+79+156+162+71</f>
        <v>609</v>
      </c>
      <c r="C38" s="29">
        <f>472+120+195+156+20</f>
        <v>963</v>
      </c>
      <c r="D38" s="29">
        <f t="shared" si="2"/>
        <v>1572</v>
      </c>
      <c r="E38" s="30">
        <f t="shared" si="0"/>
        <v>38.740458015267173</v>
      </c>
      <c r="F38" s="31">
        <f t="shared" si="1"/>
        <v>0.97318780915118464</v>
      </c>
    </row>
    <row r="39" spans="1:6">
      <c r="A39" s="40" t="s">
        <v>53</v>
      </c>
      <c r="B39" s="28">
        <f>603+25+33+25+49</f>
        <v>735</v>
      </c>
      <c r="C39" s="29">
        <f>1112+19+40+24+25</f>
        <v>1220</v>
      </c>
      <c r="D39" s="29">
        <f t="shared" si="2"/>
        <v>1955</v>
      </c>
      <c r="E39" s="30">
        <f t="shared" si="0"/>
        <v>37.595907928388748</v>
      </c>
      <c r="F39" s="31">
        <f t="shared" si="1"/>
        <v>1.210293999294253</v>
      </c>
    </row>
    <row r="40" spans="1:6">
      <c r="A40" s="40" t="s">
        <v>30</v>
      </c>
      <c r="B40" s="28">
        <f>171+22+11</f>
        <v>204</v>
      </c>
      <c r="C40" s="29">
        <f>637+76+85</f>
        <v>798</v>
      </c>
      <c r="D40" s="29">
        <f t="shared" si="2"/>
        <v>1002</v>
      </c>
      <c r="E40" s="30">
        <f t="shared" si="0"/>
        <v>20.359281437125748</v>
      </c>
      <c r="F40" s="31">
        <f t="shared" si="1"/>
        <v>0.62031436690170927</v>
      </c>
    </row>
    <row r="41" spans="1:6">
      <c r="A41" s="40" t="s">
        <v>31</v>
      </c>
      <c r="B41" s="28">
        <f>60+32+23+2</f>
        <v>117</v>
      </c>
      <c r="C41" s="29">
        <f>1780+594+443+123+1</f>
        <v>2941</v>
      </c>
      <c r="D41" s="29">
        <f t="shared" si="2"/>
        <v>3058</v>
      </c>
      <c r="E41" s="30">
        <f t="shared" si="0"/>
        <v>3.8260300850228908</v>
      </c>
      <c r="F41" s="31">
        <f t="shared" si="1"/>
        <v>1.8931350638577114</v>
      </c>
    </row>
    <row r="42" spans="1:6">
      <c r="A42" s="40" t="s">
        <v>32</v>
      </c>
      <c r="B42" s="28">
        <f>106+5+3+2+3</f>
        <v>119</v>
      </c>
      <c r="C42" s="29">
        <f>2798+41+59+11+12</f>
        <v>2921</v>
      </c>
      <c r="D42" s="29">
        <f t="shared" si="2"/>
        <v>3040</v>
      </c>
      <c r="E42" s="30">
        <f t="shared" si="0"/>
        <v>3.9144736842105261</v>
      </c>
      <c r="F42" s="31">
        <f t="shared" si="1"/>
        <v>1.8819916919972017</v>
      </c>
    </row>
    <row r="43" spans="1:6">
      <c r="A43" s="40" t="s">
        <v>33</v>
      </c>
      <c r="B43" s="28">
        <f>57+8</f>
        <v>65</v>
      </c>
      <c r="C43" s="29">
        <f>165+12</f>
        <v>177</v>
      </c>
      <c r="D43" s="29">
        <f t="shared" si="2"/>
        <v>242</v>
      </c>
      <c r="E43" s="30">
        <f t="shared" si="0"/>
        <v>26.859504132231404</v>
      </c>
      <c r="F43" s="31">
        <f t="shared" si="1"/>
        <v>0.14981644390240884</v>
      </c>
    </row>
    <row r="44" spans="1:6">
      <c r="A44" s="40" t="s">
        <v>34</v>
      </c>
      <c r="B44" s="28">
        <f>78+12+20+15</f>
        <v>125</v>
      </c>
      <c r="C44" s="29">
        <f>449+40+55+47</f>
        <v>591</v>
      </c>
      <c r="D44" s="29">
        <f t="shared" si="2"/>
        <v>716</v>
      </c>
      <c r="E44" s="30">
        <f t="shared" si="0"/>
        <v>17.458100558659218</v>
      </c>
      <c r="F44" s="31">
        <f t="shared" si="1"/>
        <v>0.44325856956249882</v>
      </c>
    </row>
    <row r="45" spans="1:6">
      <c r="A45" s="40" t="s">
        <v>35</v>
      </c>
      <c r="B45" s="28">
        <f>122+47+122</f>
        <v>291</v>
      </c>
      <c r="C45" s="29">
        <f>1139+225+293</f>
        <v>1657</v>
      </c>
      <c r="D45" s="29">
        <f t="shared" si="2"/>
        <v>1948</v>
      </c>
      <c r="E45" s="30">
        <f t="shared" si="0"/>
        <v>14.938398357289527</v>
      </c>
      <c r="F45" s="31">
        <f t="shared" si="1"/>
        <v>1.2059604657929439</v>
      </c>
    </row>
    <row r="46" spans="1:6">
      <c r="A46" s="40" t="s">
        <v>36</v>
      </c>
      <c r="B46" s="28">
        <f>128+18+5</f>
        <v>151</v>
      </c>
      <c r="C46" s="29">
        <f>901+239+170</f>
        <v>1310</v>
      </c>
      <c r="D46" s="29">
        <f t="shared" si="2"/>
        <v>1461</v>
      </c>
      <c r="E46" s="30">
        <f t="shared" si="0"/>
        <v>10.335386721423683</v>
      </c>
      <c r="F46" s="31">
        <f t="shared" si="1"/>
        <v>0.90447034934470782</v>
      </c>
    </row>
    <row r="47" spans="1:6">
      <c r="A47" s="40" t="s">
        <v>37</v>
      </c>
      <c r="B47" s="28">
        <v>1</v>
      </c>
      <c r="C47" s="29">
        <v>71</v>
      </c>
      <c r="D47" s="29">
        <f t="shared" si="2"/>
        <v>72</v>
      </c>
      <c r="E47" s="30">
        <f t="shared" si="0"/>
        <v>1.3888888888888888</v>
      </c>
      <c r="F47" s="31">
        <f t="shared" si="1"/>
        <v>4.4573487442038984E-2</v>
      </c>
    </row>
    <row r="48" spans="1:6">
      <c r="A48" s="40" t="s">
        <v>38</v>
      </c>
      <c r="B48" s="28">
        <f>206+24+33+20+11</f>
        <v>294</v>
      </c>
      <c r="C48" s="29">
        <f>1760+118+112+52+50</f>
        <v>2092</v>
      </c>
      <c r="D48" s="29">
        <f t="shared" si="2"/>
        <v>2386</v>
      </c>
      <c r="E48" s="30">
        <f t="shared" si="0"/>
        <v>12.321877619446774</v>
      </c>
      <c r="F48" s="31">
        <f t="shared" si="1"/>
        <v>1.4771158477320143</v>
      </c>
    </row>
    <row r="49" spans="1:7">
      <c r="A49" s="40" t="s">
        <v>39</v>
      </c>
      <c r="B49" s="28">
        <f>101+27+39+8</f>
        <v>175</v>
      </c>
      <c r="C49" s="29">
        <f>335+56+73+10</f>
        <v>474</v>
      </c>
      <c r="D49" s="29">
        <f t="shared" si="2"/>
        <v>649</v>
      </c>
      <c r="E49" s="30">
        <f t="shared" si="0"/>
        <v>26.964560862865948</v>
      </c>
      <c r="F49" s="31">
        <f t="shared" si="1"/>
        <v>0.40178046319282368</v>
      </c>
      <c r="G49" s="17"/>
    </row>
    <row r="50" spans="1:7">
      <c r="A50" s="40" t="s">
        <v>40</v>
      </c>
      <c r="B50" s="28">
        <f>177+52+83+56</f>
        <v>368</v>
      </c>
      <c r="C50" s="29">
        <f>731+102+136+86</f>
        <v>1055</v>
      </c>
      <c r="D50" s="29">
        <f t="shared" si="2"/>
        <v>1423</v>
      </c>
      <c r="E50" s="30">
        <f t="shared" si="0"/>
        <v>25.860857343640198</v>
      </c>
      <c r="F50" s="31">
        <f t="shared" si="1"/>
        <v>0.88094545319474282</v>
      </c>
    </row>
    <row r="51" spans="1:7">
      <c r="A51" s="40" t="s">
        <v>41</v>
      </c>
      <c r="B51" s="28">
        <f>33+6+6+4</f>
        <v>49</v>
      </c>
      <c r="C51" s="29">
        <f>209+18+27+18+8</f>
        <v>280</v>
      </c>
      <c r="D51" s="29">
        <f t="shared" si="2"/>
        <v>329</v>
      </c>
      <c r="E51" s="30">
        <f t="shared" si="0"/>
        <v>14.893617021276595</v>
      </c>
      <c r="F51" s="31">
        <f t="shared" si="1"/>
        <v>0.20367607456153927</v>
      </c>
    </row>
    <row r="52" spans="1:7">
      <c r="A52" s="40" t="s">
        <v>42</v>
      </c>
      <c r="B52" s="28">
        <f>85+1+3</f>
        <v>89</v>
      </c>
      <c r="C52" s="29">
        <f>455+18+14</f>
        <v>487</v>
      </c>
      <c r="D52" s="29">
        <f t="shared" si="2"/>
        <v>576</v>
      </c>
      <c r="E52" s="30">
        <f t="shared" si="0"/>
        <v>15.451388888888889</v>
      </c>
      <c r="F52" s="31">
        <f t="shared" si="1"/>
        <v>0.35658789953631187</v>
      </c>
    </row>
    <row r="53" spans="1:7">
      <c r="A53" s="40" t="s">
        <v>43</v>
      </c>
      <c r="B53" s="28">
        <f>167+5+2</f>
        <v>174</v>
      </c>
      <c r="C53" s="29">
        <f>3024+77+4</f>
        <v>3105</v>
      </c>
      <c r="D53" s="29">
        <f t="shared" si="2"/>
        <v>3279</v>
      </c>
      <c r="E53" s="30">
        <f t="shared" si="0"/>
        <v>5.3064958828911255</v>
      </c>
      <c r="F53" s="31">
        <f t="shared" si="1"/>
        <v>2.0299509072561923</v>
      </c>
    </row>
    <row r="54" spans="1:7">
      <c r="A54" s="40" t="s">
        <v>44</v>
      </c>
      <c r="B54" s="28">
        <f>122+3+3</f>
        <v>128</v>
      </c>
      <c r="C54" s="29">
        <f>1176+8+3</f>
        <v>1187</v>
      </c>
      <c r="D54" s="29">
        <f t="shared" si="2"/>
        <v>1315</v>
      </c>
      <c r="E54" s="30">
        <f t="shared" si="0"/>
        <v>9.7338403041825092</v>
      </c>
      <c r="F54" s="31">
        <f t="shared" si="1"/>
        <v>0.81408522203168432</v>
      </c>
    </row>
    <row r="55" spans="1:7">
      <c r="A55" s="40" t="s">
        <v>45</v>
      </c>
      <c r="B55" s="28">
        <f>202+23+15</f>
        <v>240</v>
      </c>
      <c r="C55" s="29">
        <f>1053+32+29+12</f>
        <v>1126</v>
      </c>
      <c r="D55" s="29">
        <f t="shared" si="2"/>
        <v>1366</v>
      </c>
      <c r="E55" s="30">
        <f t="shared" si="0"/>
        <v>17.569546120058565</v>
      </c>
      <c r="F55" s="31">
        <f t="shared" si="1"/>
        <v>0.84565810896979532</v>
      </c>
    </row>
    <row r="56" spans="1:7">
      <c r="A56" s="40" t="s">
        <v>46</v>
      </c>
      <c r="B56" s="28">
        <f>227+34+18+10</f>
        <v>289</v>
      </c>
      <c r="C56" s="29">
        <f>316+81+76+14</f>
        <v>487</v>
      </c>
      <c r="D56" s="29">
        <f t="shared" si="2"/>
        <v>776</v>
      </c>
      <c r="E56" s="30">
        <f t="shared" si="0"/>
        <v>37.242268041237111</v>
      </c>
      <c r="F56" s="31">
        <f t="shared" si="1"/>
        <v>0.48040314243086468</v>
      </c>
    </row>
    <row r="57" spans="1:7">
      <c r="A57" s="12"/>
      <c r="B57" s="39">
        <f>SUM(B25:B56)</f>
        <v>24623</v>
      </c>
      <c r="C57" s="39">
        <f>SUM(C25:C56)</f>
        <v>81057</v>
      </c>
      <c r="D57" s="39">
        <f>SUM(D7:D56)</f>
        <v>161531</v>
      </c>
      <c r="E57" s="36" t="s">
        <v>58</v>
      </c>
      <c r="F57" s="38"/>
    </row>
    <row r="58" spans="1:7">
      <c r="A58" s="12"/>
      <c r="B58" s="13"/>
      <c r="C58" s="2"/>
      <c r="D58" s="2"/>
      <c r="E58" s="15"/>
      <c r="F58" s="1"/>
    </row>
  </sheetData>
  <mergeCells count="3">
    <mergeCell ref="A2:F2"/>
    <mergeCell ref="A3:F3"/>
    <mergeCell ref="B5:F5"/>
  </mergeCells>
  <phoneticPr fontId="6" type="noConversion"/>
  <pageMargins left="0.75" right="0.75" top="0.56000000000000005" bottom="1" header="0" footer="0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Normal="100" zoomScaleSheetLayoutView="100" workbookViewId="0">
      <selection activeCell="C13" sqref="C13"/>
    </sheetView>
  </sheetViews>
  <sheetFormatPr defaultColWidth="11.42578125" defaultRowHeight="12.75"/>
  <cols>
    <col min="1" max="1" width="24.7109375" customWidth="1"/>
    <col min="2" max="3" width="11.42578125" customWidth="1"/>
    <col min="4" max="4" width="7.4257812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60</v>
      </c>
      <c r="B2" s="155"/>
      <c r="C2" s="155"/>
      <c r="D2" s="155"/>
      <c r="E2" s="155"/>
      <c r="F2" s="155"/>
    </row>
    <row r="3" spans="1:6" ht="15">
      <c r="A3" s="156" t="s">
        <v>61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40" t="s">
        <v>0</v>
      </c>
      <c r="B7" s="28">
        <v>384</v>
      </c>
      <c r="C7" s="29">
        <v>2564</v>
      </c>
      <c r="D7" s="29">
        <f>B7+C7</f>
        <v>2948</v>
      </c>
      <c r="E7" s="30">
        <f>B7*100/D7</f>
        <v>13.025780189959294</v>
      </c>
      <c r="F7" s="31">
        <f>(D7/$D$56)*100</f>
        <v>1.8061844048107734</v>
      </c>
    </row>
    <row r="8" spans="1:6">
      <c r="A8" s="40" t="s">
        <v>1</v>
      </c>
      <c r="B8" s="28">
        <v>238</v>
      </c>
      <c r="C8" s="29">
        <v>1989</v>
      </c>
      <c r="D8" s="29">
        <f>B8+C8</f>
        <v>2227</v>
      </c>
      <c r="E8" s="30">
        <f t="shared" ref="E8:E55" si="0">B8*100/D8</f>
        <v>10.687022900763358</v>
      </c>
      <c r="F8" s="31">
        <f t="shared" ref="F8:F55" si="1">(D8/$D$56)*100</f>
        <v>1.3644412040412457</v>
      </c>
    </row>
    <row r="9" spans="1:6">
      <c r="A9" s="40" t="s">
        <v>2</v>
      </c>
      <c r="B9" s="28">
        <v>576</v>
      </c>
      <c r="C9" s="29">
        <v>1588</v>
      </c>
      <c r="D9" s="29">
        <f t="shared" ref="D9:D55" si="2">B9+C9</f>
        <v>2164</v>
      </c>
      <c r="E9" s="30">
        <f t="shared" si="0"/>
        <v>26.617375231053604</v>
      </c>
      <c r="F9" s="31">
        <f t="shared" si="1"/>
        <v>1.325842283585656</v>
      </c>
    </row>
    <row r="10" spans="1:6">
      <c r="A10" s="40" t="s">
        <v>3</v>
      </c>
      <c r="B10" s="28">
        <v>29</v>
      </c>
      <c r="C10" s="37">
        <v>660</v>
      </c>
      <c r="D10" s="29">
        <f t="shared" si="2"/>
        <v>689</v>
      </c>
      <c r="E10" s="30">
        <f t="shared" si="0"/>
        <v>4.2089985486211905</v>
      </c>
      <c r="F10" s="31">
        <f t="shared" si="1"/>
        <v>0.42213739990319638</v>
      </c>
    </row>
    <row r="11" spans="1:6">
      <c r="A11" s="40" t="s">
        <v>4</v>
      </c>
      <c r="B11" s="28">
        <v>91</v>
      </c>
      <c r="C11" s="29">
        <v>139</v>
      </c>
      <c r="D11" s="29">
        <f t="shared" si="2"/>
        <v>230</v>
      </c>
      <c r="E11" s="30">
        <f t="shared" si="0"/>
        <v>39.565217391304351</v>
      </c>
      <c r="F11" s="31">
        <f t="shared" si="1"/>
        <v>0.14091669372675641</v>
      </c>
    </row>
    <row r="12" spans="1:6">
      <c r="A12" s="40" t="s">
        <v>5</v>
      </c>
      <c r="B12" s="28">
        <v>3064</v>
      </c>
      <c r="C12" s="29">
        <v>5756</v>
      </c>
      <c r="D12" s="29">
        <f t="shared" si="2"/>
        <v>8820</v>
      </c>
      <c r="E12" s="30">
        <f t="shared" si="0"/>
        <v>34.739229024943313</v>
      </c>
      <c r="F12" s="31">
        <f t="shared" si="1"/>
        <v>5.4038488637825717</v>
      </c>
    </row>
    <row r="13" spans="1:6">
      <c r="A13" s="40" t="s">
        <v>6</v>
      </c>
      <c r="B13" s="28">
        <v>1085</v>
      </c>
      <c r="C13" s="29">
        <v>2810</v>
      </c>
      <c r="D13" s="29">
        <f t="shared" si="2"/>
        <v>3895</v>
      </c>
      <c r="E13" s="30">
        <f t="shared" si="0"/>
        <v>27.85622593068036</v>
      </c>
      <c r="F13" s="31">
        <f t="shared" si="1"/>
        <v>2.3863935741987663</v>
      </c>
    </row>
    <row r="14" spans="1:6">
      <c r="A14" s="40" t="s">
        <v>7</v>
      </c>
      <c r="B14" s="28">
        <v>297</v>
      </c>
      <c r="C14" s="29">
        <v>150</v>
      </c>
      <c r="D14" s="29">
        <f t="shared" si="2"/>
        <v>447</v>
      </c>
      <c r="E14" s="30">
        <v>0</v>
      </c>
      <c r="F14" s="31">
        <f t="shared" si="1"/>
        <v>0.27386853085156571</v>
      </c>
    </row>
    <row r="15" spans="1:6">
      <c r="A15" s="40" t="s">
        <v>54</v>
      </c>
      <c r="B15" s="28">
        <v>14</v>
      </c>
      <c r="C15" s="29">
        <v>44</v>
      </c>
      <c r="D15" s="29">
        <f t="shared" si="2"/>
        <v>58</v>
      </c>
      <c r="E15" s="30">
        <f t="shared" si="0"/>
        <v>24.137931034482758</v>
      </c>
      <c r="F15" s="31">
        <f t="shared" si="1"/>
        <v>3.5535514070225524E-2</v>
      </c>
    </row>
    <row r="16" spans="1:6">
      <c r="A16" s="40" t="s">
        <v>8</v>
      </c>
      <c r="B16" s="28">
        <v>615</v>
      </c>
      <c r="C16" s="29">
        <v>3521</v>
      </c>
      <c r="D16" s="29">
        <f t="shared" si="2"/>
        <v>4136</v>
      </c>
      <c r="E16" s="30">
        <f t="shared" si="0"/>
        <v>14.869439071566731</v>
      </c>
      <c r="F16" s="31">
        <f t="shared" si="1"/>
        <v>2.5340497619733235</v>
      </c>
    </row>
    <row r="17" spans="1:6">
      <c r="A17" s="40" t="s">
        <v>9</v>
      </c>
      <c r="B17" s="28">
        <v>17</v>
      </c>
      <c r="C17" s="29">
        <v>155</v>
      </c>
      <c r="D17" s="29">
        <f t="shared" si="2"/>
        <v>172</v>
      </c>
      <c r="E17" s="30">
        <f t="shared" si="0"/>
        <v>9.8837209302325579</v>
      </c>
      <c r="F17" s="31">
        <f t="shared" si="1"/>
        <v>0.10538117965653088</v>
      </c>
    </row>
    <row r="18" spans="1:6">
      <c r="A18" s="40" t="s">
        <v>10</v>
      </c>
      <c r="B18" s="28">
        <v>75</v>
      </c>
      <c r="C18" s="29">
        <v>17473</v>
      </c>
      <c r="D18" s="29">
        <f t="shared" si="2"/>
        <v>17548</v>
      </c>
      <c r="E18" s="30">
        <f t="shared" si="0"/>
        <v>0.42739913380442218</v>
      </c>
      <c r="F18" s="31">
        <f t="shared" si="1"/>
        <v>10.751331050074441</v>
      </c>
    </row>
    <row r="19" spans="1:6">
      <c r="A19" s="40" t="s">
        <v>11</v>
      </c>
      <c r="B19" s="28">
        <v>232</v>
      </c>
      <c r="C19" s="29">
        <v>6463</v>
      </c>
      <c r="D19" s="29">
        <f t="shared" si="2"/>
        <v>6695</v>
      </c>
      <c r="E19" s="30">
        <f t="shared" si="0"/>
        <v>3.4652725914861837</v>
      </c>
      <c r="F19" s="31">
        <f t="shared" si="1"/>
        <v>4.1019011500027567</v>
      </c>
    </row>
    <row r="20" spans="1:6">
      <c r="A20" s="40" t="s">
        <v>12</v>
      </c>
      <c r="B20" s="28">
        <v>23</v>
      </c>
      <c r="C20" s="29">
        <v>640</v>
      </c>
      <c r="D20" s="29">
        <f t="shared" si="2"/>
        <v>663</v>
      </c>
      <c r="E20" s="30">
        <f t="shared" si="0"/>
        <v>3.4690799396681751</v>
      </c>
      <c r="F20" s="31">
        <f t="shared" si="1"/>
        <v>0.40620768669930213</v>
      </c>
    </row>
    <row r="21" spans="1:6">
      <c r="A21" s="40" t="s">
        <v>13</v>
      </c>
      <c r="B21" s="28">
        <v>1950</v>
      </c>
      <c r="C21" s="29">
        <v>2639</v>
      </c>
      <c r="D21" s="29">
        <f t="shared" si="2"/>
        <v>4589</v>
      </c>
      <c r="E21" s="30">
        <f t="shared" si="0"/>
        <v>42.492917847025495</v>
      </c>
      <c r="F21" s="31">
        <f t="shared" si="1"/>
        <v>2.8115943804873265</v>
      </c>
    </row>
    <row r="22" spans="1:6">
      <c r="A22" s="40" t="s">
        <v>52</v>
      </c>
      <c r="B22" s="28">
        <v>124</v>
      </c>
      <c r="C22" s="29">
        <v>365</v>
      </c>
      <c r="D22" s="29">
        <f t="shared" si="2"/>
        <v>489</v>
      </c>
      <c r="E22" s="30">
        <f t="shared" si="0"/>
        <v>25.357873210633947</v>
      </c>
      <c r="F22" s="31">
        <f t="shared" si="1"/>
        <v>0.29960114448862557</v>
      </c>
    </row>
    <row r="23" spans="1:6">
      <c r="A23" s="40" t="s">
        <v>15</v>
      </c>
      <c r="B23" s="28"/>
      <c r="C23" s="29"/>
      <c r="D23" s="29"/>
      <c r="E23" s="30">
        <v>0</v>
      </c>
      <c r="F23" s="31">
        <f t="shared" si="1"/>
        <v>0</v>
      </c>
    </row>
    <row r="24" spans="1:6">
      <c r="A24" s="40" t="s">
        <v>16</v>
      </c>
      <c r="B24" s="28"/>
      <c r="C24" s="29"/>
      <c r="D24" s="29"/>
      <c r="E24" s="30">
        <v>0</v>
      </c>
      <c r="F24" s="31">
        <f t="shared" si="1"/>
        <v>0</v>
      </c>
    </row>
    <row r="25" spans="1:6">
      <c r="A25" s="40" t="s">
        <v>17</v>
      </c>
      <c r="B25" s="28">
        <v>2810</v>
      </c>
      <c r="C25" s="29">
        <v>21992</v>
      </c>
      <c r="D25" s="29">
        <f t="shared" si="2"/>
        <v>24802</v>
      </c>
      <c r="E25" s="30">
        <f t="shared" si="0"/>
        <v>11.329731473268286</v>
      </c>
      <c r="F25" s="31">
        <f t="shared" si="1"/>
        <v>15.195721033960924</v>
      </c>
    </row>
    <row r="26" spans="1:6">
      <c r="A26" s="40" t="s">
        <v>19</v>
      </c>
      <c r="B26" s="28">
        <v>359</v>
      </c>
      <c r="C26" s="29">
        <v>8</v>
      </c>
      <c r="D26" s="29">
        <f t="shared" si="2"/>
        <v>367</v>
      </c>
      <c r="E26" s="30">
        <f t="shared" si="0"/>
        <v>97.820163487738427</v>
      </c>
      <c r="F26" s="31">
        <f t="shared" si="1"/>
        <v>0.22485402868573739</v>
      </c>
    </row>
    <row r="27" spans="1:6">
      <c r="A27" s="40" t="s">
        <v>20</v>
      </c>
      <c r="B27" s="28">
        <v>6731</v>
      </c>
      <c r="C27" s="29">
        <v>12577</v>
      </c>
      <c r="D27" s="29">
        <f t="shared" si="2"/>
        <v>19308</v>
      </c>
      <c r="E27" s="30">
        <f t="shared" si="0"/>
        <v>34.861197431116636</v>
      </c>
      <c r="F27" s="31">
        <f t="shared" si="1"/>
        <v>11.829650097722663</v>
      </c>
    </row>
    <row r="28" spans="1:6">
      <c r="A28" s="40" t="s">
        <v>21</v>
      </c>
      <c r="B28" s="28">
        <v>7</v>
      </c>
      <c r="C28" s="29">
        <v>134</v>
      </c>
      <c r="D28" s="29">
        <f t="shared" si="2"/>
        <v>141</v>
      </c>
      <c r="E28" s="30">
        <f t="shared" si="0"/>
        <v>4.9645390070921982</v>
      </c>
      <c r="F28" s="31">
        <f t="shared" si="1"/>
        <v>8.6388060067272399E-2</v>
      </c>
    </row>
    <row r="29" spans="1:6">
      <c r="A29" s="40" t="s">
        <v>48</v>
      </c>
      <c r="B29" s="28">
        <v>145</v>
      </c>
      <c r="C29" s="29">
        <v>1195</v>
      </c>
      <c r="D29" s="29">
        <f t="shared" si="2"/>
        <v>1340</v>
      </c>
      <c r="E29" s="30">
        <f t="shared" si="0"/>
        <v>10.82089552238806</v>
      </c>
      <c r="F29" s="31">
        <f t="shared" si="1"/>
        <v>0.8209929112776243</v>
      </c>
    </row>
    <row r="30" spans="1:6">
      <c r="A30" s="40" t="s">
        <v>22</v>
      </c>
      <c r="B30" s="28">
        <v>841</v>
      </c>
      <c r="C30" s="29">
        <v>674</v>
      </c>
      <c r="D30" s="29">
        <f t="shared" si="2"/>
        <v>1515</v>
      </c>
      <c r="E30" s="30">
        <f t="shared" si="0"/>
        <v>55.511551155115512</v>
      </c>
      <c r="F30" s="31">
        <f t="shared" si="1"/>
        <v>0.92821213476537368</v>
      </c>
    </row>
    <row r="31" spans="1:6">
      <c r="A31" s="40" t="s">
        <v>23</v>
      </c>
      <c r="B31" s="28">
        <v>345</v>
      </c>
      <c r="C31" s="29">
        <v>518</v>
      </c>
      <c r="D31" s="29">
        <f t="shared" si="2"/>
        <v>863</v>
      </c>
      <c r="E31" s="30">
        <f t="shared" si="0"/>
        <v>39.976825028968712</v>
      </c>
      <c r="F31" s="31">
        <f t="shared" si="1"/>
        <v>0.52874394211387299</v>
      </c>
    </row>
    <row r="32" spans="1:6">
      <c r="A32" s="40" t="s">
        <v>24</v>
      </c>
      <c r="B32" s="28">
        <v>244</v>
      </c>
      <c r="C32" s="29">
        <v>1142</v>
      </c>
      <c r="D32" s="29">
        <f t="shared" si="2"/>
        <v>1386</v>
      </c>
      <c r="E32" s="30">
        <f t="shared" si="0"/>
        <v>17.604617604617605</v>
      </c>
      <c r="F32" s="31">
        <f t="shared" si="1"/>
        <v>0.84917625002297548</v>
      </c>
    </row>
    <row r="33" spans="1:7">
      <c r="A33" s="40" t="s">
        <v>25</v>
      </c>
      <c r="B33" s="28">
        <v>352</v>
      </c>
      <c r="C33" s="29">
        <v>896</v>
      </c>
      <c r="D33" s="29">
        <f t="shared" si="2"/>
        <v>1248</v>
      </c>
      <c r="E33" s="30">
        <f t="shared" si="0"/>
        <v>28.205128205128204</v>
      </c>
      <c r="F33" s="31">
        <f t="shared" si="1"/>
        <v>0.76462623378692174</v>
      </c>
    </row>
    <row r="34" spans="1:7">
      <c r="A34" s="40" t="s">
        <v>26</v>
      </c>
      <c r="B34" s="28">
        <v>13</v>
      </c>
      <c r="C34" s="29">
        <v>81</v>
      </c>
      <c r="D34" s="29">
        <f t="shared" si="2"/>
        <v>94</v>
      </c>
      <c r="E34" s="30">
        <f t="shared" si="0"/>
        <v>13.829787234042554</v>
      </c>
      <c r="F34" s="31">
        <f t="shared" si="1"/>
        <v>5.7592040044848268E-2</v>
      </c>
    </row>
    <row r="35" spans="1:7">
      <c r="A35" s="40" t="s">
        <v>27</v>
      </c>
      <c r="B35" s="28">
        <v>7946</v>
      </c>
      <c r="C35" s="29">
        <v>20466</v>
      </c>
      <c r="D35" s="29">
        <f t="shared" si="2"/>
        <v>28412</v>
      </c>
      <c r="E35" s="30">
        <f t="shared" si="0"/>
        <v>27.96705617344784</v>
      </c>
      <c r="F35" s="31">
        <f t="shared" si="1"/>
        <v>17.407500444193929</v>
      </c>
    </row>
    <row r="36" spans="1:7">
      <c r="A36" s="40" t="s">
        <v>28</v>
      </c>
      <c r="B36" s="28">
        <v>2</v>
      </c>
      <c r="C36" s="29">
        <v>377</v>
      </c>
      <c r="D36" s="29">
        <f t="shared" si="2"/>
        <v>379</v>
      </c>
      <c r="E36" s="30">
        <f t="shared" si="0"/>
        <v>0.52770448548812665</v>
      </c>
      <c r="F36" s="31">
        <f t="shared" si="1"/>
        <v>0.23220620401061165</v>
      </c>
    </row>
    <row r="37" spans="1:7">
      <c r="A37" s="40" t="s">
        <v>29</v>
      </c>
      <c r="B37" s="28">
        <v>582</v>
      </c>
      <c r="C37" s="29">
        <v>946</v>
      </c>
      <c r="D37" s="29">
        <f t="shared" si="2"/>
        <v>1528</v>
      </c>
      <c r="E37" s="30">
        <f t="shared" si="0"/>
        <v>38.089005235602095</v>
      </c>
      <c r="F37" s="31">
        <f t="shared" si="1"/>
        <v>0.93617699136732069</v>
      </c>
    </row>
    <row r="38" spans="1:7">
      <c r="A38" s="40" t="s">
        <v>53</v>
      </c>
      <c r="B38" s="28">
        <v>824</v>
      </c>
      <c r="C38" s="29">
        <v>1559</v>
      </c>
      <c r="D38" s="29">
        <f t="shared" si="2"/>
        <v>2383</v>
      </c>
      <c r="E38" s="30">
        <f t="shared" si="0"/>
        <v>34.578262694083087</v>
      </c>
      <c r="F38" s="31">
        <f t="shared" si="1"/>
        <v>1.460019483264611</v>
      </c>
    </row>
    <row r="39" spans="1:7">
      <c r="A39" s="40" t="s">
        <v>30</v>
      </c>
      <c r="B39" s="28">
        <v>190</v>
      </c>
      <c r="C39" s="29">
        <v>717</v>
      </c>
      <c r="D39" s="29">
        <f t="shared" si="2"/>
        <v>907</v>
      </c>
      <c r="E39" s="30">
        <f t="shared" si="0"/>
        <v>20.948180815876515</v>
      </c>
      <c r="F39" s="31">
        <f t="shared" si="1"/>
        <v>0.55570191830507853</v>
      </c>
    </row>
    <row r="40" spans="1:7">
      <c r="A40" s="40" t="s">
        <v>31</v>
      </c>
      <c r="B40" s="28">
        <v>99</v>
      </c>
      <c r="C40" s="29">
        <v>2622</v>
      </c>
      <c r="D40" s="29">
        <f t="shared" si="2"/>
        <v>2721</v>
      </c>
      <c r="E40" s="30">
        <f t="shared" si="0"/>
        <v>3.6383682469680263</v>
      </c>
      <c r="F40" s="31">
        <f t="shared" si="1"/>
        <v>1.6671057549152355</v>
      </c>
    </row>
    <row r="41" spans="1:7">
      <c r="A41" s="40" t="s">
        <v>32</v>
      </c>
      <c r="B41" s="28">
        <v>68</v>
      </c>
      <c r="C41" s="29">
        <v>2764</v>
      </c>
      <c r="D41" s="29">
        <f t="shared" si="2"/>
        <v>2832</v>
      </c>
      <c r="E41" s="30">
        <f t="shared" si="0"/>
        <v>2.4011299435028248</v>
      </c>
      <c r="F41" s="31">
        <f t="shared" si="1"/>
        <v>1.7351133766703224</v>
      </c>
    </row>
    <row r="42" spans="1:7">
      <c r="A42" s="40" t="s">
        <v>33</v>
      </c>
      <c r="B42" s="28">
        <v>67</v>
      </c>
      <c r="C42" s="29">
        <v>188</v>
      </c>
      <c r="D42" s="29">
        <f t="shared" si="2"/>
        <v>255</v>
      </c>
      <c r="E42" s="30">
        <f t="shared" si="0"/>
        <v>26.274509803921568</v>
      </c>
      <c r="F42" s="31">
        <f t="shared" si="1"/>
        <v>0.15623372565357774</v>
      </c>
    </row>
    <row r="43" spans="1:7">
      <c r="A43" s="40" t="s">
        <v>34</v>
      </c>
      <c r="B43" s="28">
        <v>119</v>
      </c>
      <c r="C43" s="29">
        <v>569</v>
      </c>
      <c r="D43" s="29">
        <f t="shared" si="2"/>
        <v>688</v>
      </c>
      <c r="E43" s="30">
        <f t="shared" si="0"/>
        <v>17.296511627906977</v>
      </c>
      <c r="F43" s="31">
        <f t="shared" si="1"/>
        <v>0.42152471862612351</v>
      </c>
    </row>
    <row r="44" spans="1:7">
      <c r="A44" s="40" t="s">
        <v>35</v>
      </c>
      <c r="B44" s="28">
        <v>308</v>
      </c>
      <c r="C44" s="29">
        <v>1862</v>
      </c>
      <c r="D44" s="29">
        <f t="shared" si="2"/>
        <v>2170</v>
      </c>
      <c r="E44" s="30">
        <v>0</v>
      </c>
      <c r="F44" s="31">
        <f t="shared" si="1"/>
        <v>1.3295183712480931</v>
      </c>
    </row>
    <row r="45" spans="1:7">
      <c r="A45" s="40" t="s">
        <v>36</v>
      </c>
      <c r="B45" s="28">
        <v>159</v>
      </c>
      <c r="C45" s="29">
        <v>1375</v>
      </c>
      <c r="D45" s="29">
        <f t="shared" si="2"/>
        <v>1534</v>
      </c>
      <c r="E45" s="30">
        <f t="shared" si="0"/>
        <v>10.365058670143416</v>
      </c>
      <c r="F45" s="31">
        <f t="shared" si="1"/>
        <v>0.9398530790297579</v>
      </c>
    </row>
    <row r="46" spans="1:7">
      <c r="A46" s="40" t="s">
        <v>37</v>
      </c>
      <c r="B46" s="28">
        <v>5</v>
      </c>
      <c r="C46" s="29">
        <v>100</v>
      </c>
      <c r="D46" s="29">
        <f t="shared" si="2"/>
        <v>105</v>
      </c>
      <c r="E46" s="30">
        <f t="shared" si="0"/>
        <v>4.7619047619047619</v>
      </c>
      <c r="F46" s="31">
        <f t="shared" si="1"/>
        <v>6.4331534092649661E-2</v>
      </c>
    </row>
    <row r="47" spans="1:7">
      <c r="A47" s="40" t="s">
        <v>38</v>
      </c>
      <c r="B47" s="28">
        <v>284</v>
      </c>
      <c r="C47" s="29">
        <v>2477</v>
      </c>
      <c r="D47" s="29">
        <f t="shared" si="2"/>
        <v>2761</v>
      </c>
      <c r="E47" s="30">
        <f t="shared" si="0"/>
        <v>10.286128214415067</v>
      </c>
      <c r="F47" s="31">
        <f t="shared" si="1"/>
        <v>1.6916130059981498</v>
      </c>
    </row>
    <row r="48" spans="1:7">
      <c r="A48" s="40" t="s">
        <v>39</v>
      </c>
      <c r="B48" s="28">
        <v>123</v>
      </c>
      <c r="C48" s="29">
        <v>406</v>
      </c>
      <c r="D48" s="29">
        <f t="shared" si="2"/>
        <v>529</v>
      </c>
      <c r="E48" s="30">
        <f t="shared" si="0"/>
        <v>23.251417769376182</v>
      </c>
      <c r="F48" s="31">
        <f t="shared" si="1"/>
        <v>0.3241083955715397</v>
      </c>
      <c r="G48" s="17"/>
    </row>
    <row r="49" spans="1:6">
      <c r="A49" s="40" t="s">
        <v>40</v>
      </c>
      <c r="B49" s="28">
        <v>351</v>
      </c>
      <c r="C49" s="29">
        <v>1085</v>
      </c>
      <c r="D49" s="29">
        <f t="shared" si="2"/>
        <v>1436</v>
      </c>
      <c r="E49" s="30">
        <f t="shared" si="0"/>
        <v>24.442896935933149</v>
      </c>
      <c r="F49" s="31">
        <f t="shared" si="1"/>
        <v>0.87981031387661823</v>
      </c>
    </row>
    <row r="50" spans="1:6">
      <c r="A50" s="40" t="s">
        <v>41</v>
      </c>
      <c r="B50" s="28">
        <v>39</v>
      </c>
      <c r="C50" s="29">
        <v>202</v>
      </c>
      <c r="D50" s="29">
        <f t="shared" si="2"/>
        <v>241</v>
      </c>
      <c r="E50" s="30">
        <f t="shared" si="0"/>
        <v>16.182572614107883</v>
      </c>
      <c r="F50" s="31">
        <f t="shared" si="1"/>
        <v>0.1476561877745578</v>
      </c>
    </row>
    <row r="51" spans="1:6">
      <c r="A51" s="40" t="s">
        <v>42</v>
      </c>
      <c r="B51" s="28">
        <v>93</v>
      </c>
      <c r="C51" s="29">
        <v>506</v>
      </c>
      <c r="D51" s="29">
        <f t="shared" si="2"/>
        <v>599</v>
      </c>
      <c r="E51" s="30">
        <f t="shared" si="0"/>
        <v>15.525876460767947</v>
      </c>
      <c r="F51" s="31">
        <f t="shared" si="1"/>
        <v>0.36699608496663949</v>
      </c>
    </row>
    <row r="52" spans="1:6">
      <c r="A52" s="40" t="s">
        <v>43</v>
      </c>
      <c r="B52" s="28">
        <v>207</v>
      </c>
      <c r="C52" s="29">
        <v>3073</v>
      </c>
      <c r="D52" s="29">
        <f t="shared" si="2"/>
        <v>3280</v>
      </c>
      <c r="E52" s="30">
        <f t="shared" si="0"/>
        <v>6.3109756097560972</v>
      </c>
      <c r="F52" s="31">
        <f t="shared" si="1"/>
        <v>2.009594588798961</v>
      </c>
    </row>
    <row r="53" spans="1:6">
      <c r="A53" s="40" t="s">
        <v>44</v>
      </c>
      <c r="B53" s="28">
        <v>117</v>
      </c>
      <c r="C53" s="29">
        <v>1196</v>
      </c>
      <c r="D53" s="29">
        <f t="shared" si="2"/>
        <v>1313</v>
      </c>
      <c r="E53" s="30">
        <f t="shared" si="0"/>
        <v>8.9108910891089117</v>
      </c>
      <c r="F53" s="31">
        <f t="shared" si="1"/>
        <v>0.80445051679665713</v>
      </c>
    </row>
    <row r="54" spans="1:6">
      <c r="A54" s="40" t="s">
        <v>45</v>
      </c>
      <c r="B54" s="28">
        <v>264</v>
      </c>
      <c r="C54" s="29">
        <v>1285</v>
      </c>
      <c r="D54" s="29">
        <f t="shared" si="2"/>
        <v>1549</v>
      </c>
      <c r="E54" s="30">
        <f t="shared" si="0"/>
        <v>17.043253712072303</v>
      </c>
      <c r="F54" s="31">
        <f t="shared" si="1"/>
        <v>0.94904329818585076</v>
      </c>
    </row>
    <row r="55" spans="1:6">
      <c r="A55" s="40" t="s">
        <v>46</v>
      </c>
      <c r="B55" s="28">
        <v>474</v>
      </c>
      <c r="C55" s="29">
        <v>287</v>
      </c>
      <c r="D55" s="29">
        <f t="shared" si="2"/>
        <v>761</v>
      </c>
      <c r="E55" s="30">
        <f t="shared" si="0"/>
        <v>62.286465177398163</v>
      </c>
      <c r="F55" s="31">
        <f t="shared" si="1"/>
        <v>0.46625045185244185</v>
      </c>
    </row>
    <row r="56" spans="1:6">
      <c r="A56" s="12"/>
      <c r="B56" s="32">
        <f>SUM(B7:B55)</f>
        <v>32982</v>
      </c>
      <c r="C56" s="32">
        <f>SUM(C7:C55)</f>
        <v>130235</v>
      </c>
      <c r="D56" s="32">
        <f>SUM(D7:D55)</f>
        <v>163217</v>
      </c>
      <c r="E56" s="33">
        <f>(B56*100)/D56</f>
        <v>20.207453880416868</v>
      </c>
      <c r="F56" s="38"/>
    </row>
    <row r="57" spans="1:6">
      <c r="A57" s="12"/>
      <c r="B57" s="13"/>
      <c r="C57" s="2"/>
      <c r="D57" s="2"/>
      <c r="E57" s="15"/>
      <c r="F57" s="1"/>
    </row>
  </sheetData>
  <mergeCells count="3">
    <mergeCell ref="A2:F2"/>
    <mergeCell ref="A3:F3"/>
    <mergeCell ref="B5:F5"/>
  </mergeCells>
  <phoneticPr fontId="6" type="noConversion"/>
  <pageMargins left="0.75" right="0.75" top="1" bottom="1" header="0.4921259845" footer="0.4921259845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Normal="100" zoomScaleSheetLayoutView="100" workbookViewId="0">
      <selection activeCell="C14" sqref="C14"/>
    </sheetView>
  </sheetViews>
  <sheetFormatPr defaultColWidth="11.42578125" defaultRowHeight="12.75"/>
  <cols>
    <col min="1" max="1" width="24.7109375" customWidth="1"/>
    <col min="2" max="3" width="11.42578125" customWidth="1"/>
    <col min="4" max="4" width="9.710937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65</v>
      </c>
      <c r="B2" s="155"/>
      <c r="C2" s="155"/>
      <c r="D2" s="155"/>
      <c r="E2" s="155"/>
      <c r="F2" s="155"/>
    </row>
    <row r="3" spans="1:6" ht="15">
      <c r="A3" s="156" t="s">
        <v>66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40" t="s">
        <v>0</v>
      </c>
      <c r="B7" s="28">
        <v>288</v>
      </c>
      <c r="C7" s="29">
        <v>2336</v>
      </c>
      <c r="D7" s="29">
        <f>B7+C7</f>
        <v>2624</v>
      </c>
      <c r="E7" s="30">
        <f>B7*100/D7</f>
        <v>10.975609756097562</v>
      </c>
      <c r="F7" s="31">
        <f t="shared" ref="F7:F54" si="0">(D7/$D$55)*100</f>
        <v>1.6019144831628043</v>
      </c>
    </row>
    <row r="8" spans="1:6">
      <c r="A8" s="40" t="s">
        <v>1</v>
      </c>
      <c r="B8" s="28">
        <v>259</v>
      </c>
      <c r="C8" s="29">
        <v>2026</v>
      </c>
      <c r="D8" s="29">
        <f>B8+C8</f>
        <v>2285</v>
      </c>
      <c r="E8" s="30">
        <f t="shared" ref="E8:E54" si="1">B8*100/D8</f>
        <v>11.334792122538293</v>
      </c>
      <c r="F8" s="31">
        <f t="shared" si="0"/>
        <v>1.3949598300407806</v>
      </c>
    </row>
    <row r="9" spans="1:6">
      <c r="A9" s="40" t="s">
        <v>2</v>
      </c>
      <c r="B9" s="28">
        <v>600</v>
      </c>
      <c r="C9" s="29">
        <v>1529</v>
      </c>
      <c r="D9" s="29">
        <f t="shared" ref="D9:D54" si="2">B9+C9</f>
        <v>2129</v>
      </c>
      <c r="E9" s="30">
        <f t="shared" si="1"/>
        <v>28.182245185533112</v>
      </c>
      <c r="F9" s="31">
        <f t="shared" si="0"/>
        <v>1.299724060462504</v>
      </c>
    </row>
    <row r="10" spans="1:6">
      <c r="A10" s="40" t="s">
        <v>3</v>
      </c>
      <c r="B10" s="28">
        <v>34</v>
      </c>
      <c r="C10" s="37">
        <v>660</v>
      </c>
      <c r="D10" s="29">
        <f t="shared" si="2"/>
        <v>694</v>
      </c>
      <c r="E10" s="30">
        <f t="shared" si="1"/>
        <v>4.8991354466858787</v>
      </c>
      <c r="F10" s="31">
        <f t="shared" si="0"/>
        <v>0.42367707748284539</v>
      </c>
    </row>
    <row r="11" spans="1:6">
      <c r="A11" s="40" t="s">
        <v>4</v>
      </c>
      <c r="B11" s="28">
        <v>112</v>
      </c>
      <c r="C11" s="29">
        <v>190</v>
      </c>
      <c r="D11" s="29">
        <f t="shared" si="2"/>
        <v>302</v>
      </c>
      <c r="E11" s="30">
        <f t="shared" si="1"/>
        <v>37.086092715231786</v>
      </c>
      <c r="F11" s="31">
        <f t="shared" si="0"/>
        <v>0.18436668213230445</v>
      </c>
    </row>
    <row r="12" spans="1:6">
      <c r="A12" s="40" t="s">
        <v>5</v>
      </c>
      <c r="B12" s="28">
        <v>3083</v>
      </c>
      <c r="C12" s="29">
        <v>5907</v>
      </c>
      <c r="D12" s="29">
        <f t="shared" si="2"/>
        <v>8990</v>
      </c>
      <c r="E12" s="30">
        <f t="shared" si="1"/>
        <v>34.293659621802</v>
      </c>
      <c r="F12" s="31">
        <f t="shared" si="0"/>
        <v>5.488266464799394</v>
      </c>
    </row>
    <row r="13" spans="1:6">
      <c r="A13" s="40" t="s">
        <v>6</v>
      </c>
      <c r="B13" s="28">
        <v>1253</v>
      </c>
      <c r="C13" s="29">
        <v>2237</v>
      </c>
      <c r="D13" s="29">
        <f t="shared" si="2"/>
        <v>3490</v>
      </c>
      <c r="E13" s="30">
        <f t="shared" si="1"/>
        <v>35.902578796561606</v>
      </c>
      <c r="F13" s="31">
        <f t="shared" si="0"/>
        <v>2.1305951014627236</v>
      </c>
    </row>
    <row r="14" spans="1:6">
      <c r="A14" s="40" t="s">
        <v>7</v>
      </c>
      <c r="B14" s="28">
        <v>193</v>
      </c>
      <c r="C14" s="29">
        <v>199</v>
      </c>
      <c r="D14" s="29">
        <f t="shared" si="2"/>
        <v>392</v>
      </c>
      <c r="E14" s="30">
        <v>0</v>
      </c>
      <c r="F14" s="31">
        <f t="shared" si="0"/>
        <v>0.23931039535054088</v>
      </c>
    </row>
    <row r="15" spans="1:6">
      <c r="A15" s="40" t="s">
        <v>54</v>
      </c>
      <c r="B15" s="28">
        <v>22</v>
      </c>
      <c r="C15" s="29">
        <v>99</v>
      </c>
      <c r="D15" s="29">
        <f t="shared" si="2"/>
        <v>121</v>
      </c>
      <c r="E15" s="30">
        <f t="shared" si="1"/>
        <v>18.181818181818183</v>
      </c>
      <c r="F15" s="31">
        <f t="shared" si="0"/>
        <v>7.386876999340676E-2</v>
      </c>
    </row>
    <row r="16" spans="1:6">
      <c r="A16" s="40" t="s">
        <v>8</v>
      </c>
      <c r="B16" s="28">
        <v>593</v>
      </c>
      <c r="C16" s="29">
        <v>3508</v>
      </c>
      <c r="D16" s="29">
        <f t="shared" si="2"/>
        <v>4101</v>
      </c>
      <c r="E16" s="30">
        <f t="shared" si="1"/>
        <v>14.45988783223604</v>
      </c>
      <c r="F16" s="31">
        <f t="shared" si="0"/>
        <v>2.5036018656443066</v>
      </c>
    </row>
    <row r="17" spans="1:6">
      <c r="A17" s="40" t="s">
        <v>9</v>
      </c>
      <c r="B17" s="28">
        <v>17</v>
      </c>
      <c r="C17" s="29">
        <v>185</v>
      </c>
      <c r="D17" s="29">
        <f t="shared" si="2"/>
        <v>202</v>
      </c>
      <c r="E17" s="30">
        <f t="shared" si="1"/>
        <v>8.4158415841584162</v>
      </c>
      <c r="F17" s="31">
        <f t="shared" si="0"/>
        <v>0.12331811188981955</v>
      </c>
    </row>
    <row r="18" spans="1:6">
      <c r="A18" s="40" t="s">
        <v>10</v>
      </c>
      <c r="B18" s="28">
        <v>75</v>
      </c>
      <c r="C18" s="29">
        <v>17290</v>
      </c>
      <c r="D18" s="29">
        <f t="shared" si="2"/>
        <v>17365</v>
      </c>
      <c r="E18" s="30">
        <f t="shared" si="1"/>
        <v>0.43190325367117766</v>
      </c>
      <c r="F18" s="31">
        <f t="shared" si="0"/>
        <v>10.601084222607508</v>
      </c>
    </row>
    <row r="19" spans="1:6">
      <c r="A19" s="40" t="s">
        <v>11</v>
      </c>
      <c r="B19" s="28">
        <v>261</v>
      </c>
      <c r="C19" s="29">
        <v>6935</v>
      </c>
      <c r="D19" s="29">
        <f t="shared" si="2"/>
        <v>7196</v>
      </c>
      <c r="E19" s="30">
        <f t="shared" si="1"/>
        <v>3.6270150083379655</v>
      </c>
      <c r="F19" s="31">
        <f t="shared" si="0"/>
        <v>4.3930551146492149</v>
      </c>
    </row>
    <row r="20" spans="1:6">
      <c r="A20" s="40" t="s">
        <v>12</v>
      </c>
      <c r="B20" s="28">
        <v>19</v>
      </c>
      <c r="C20" s="29">
        <v>512</v>
      </c>
      <c r="D20" s="29">
        <f t="shared" si="2"/>
        <v>531</v>
      </c>
      <c r="E20" s="30">
        <f t="shared" si="1"/>
        <v>3.5781544256120528</v>
      </c>
      <c r="F20" s="31">
        <f t="shared" si="0"/>
        <v>0.32416790798759493</v>
      </c>
    </row>
    <row r="21" spans="1:6">
      <c r="A21" s="40" t="s">
        <v>13</v>
      </c>
      <c r="B21" s="28">
        <v>2192</v>
      </c>
      <c r="C21" s="29">
        <v>1979</v>
      </c>
      <c r="D21" s="29">
        <f t="shared" si="2"/>
        <v>4171</v>
      </c>
      <c r="E21" s="30">
        <f t="shared" si="1"/>
        <v>52.553344521697433</v>
      </c>
      <c r="F21" s="31">
        <f t="shared" si="0"/>
        <v>2.5463358648140462</v>
      </c>
    </row>
    <row r="22" spans="1:6">
      <c r="A22" s="40" t="s">
        <v>52</v>
      </c>
      <c r="B22" s="28">
        <v>144</v>
      </c>
      <c r="C22" s="29">
        <v>347</v>
      </c>
      <c r="D22" s="29">
        <f t="shared" si="2"/>
        <v>491</v>
      </c>
      <c r="E22" s="30">
        <f t="shared" si="1"/>
        <v>29.327902240325866</v>
      </c>
      <c r="F22" s="31">
        <f t="shared" si="0"/>
        <v>0.29974847989060099</v>
      </c>
    </row>
    <row r="23" spans="1:6">
      <c r="A23" s="40" t="s">
        <v>15</v>
      </c>
      <c r="B23" s="28">
        <v>41</v>
      </c>
      <c r="C23" s="29">
        <v>100</v>
      </c>
      <c r="D23" s="29">
        <f t="shared" si="2"/>
        <v>141</v>
      </c>
      <c r="E23" s="30">
        <f>B23*100/D23</f>
        <v>29.078014184397162</v>
      </c>
      <c r="F23" s="31">
        <f t="shared" si="0"/>
        <v>8.6078484041903741E-2</v>
      </c>
    </row>
    <row r="24" spans="1:6">
      <c r="A24" s="40" t="s">
        <v>17</v>
      </c>
      <c r="B24" s="28">
        <v>2754</v>
      </c>
      <c r="C24" s="29">
        <v>22045</v>
      </c>
      <c r="D24" s="29">
        <f t="shared" si="2"/>
        <v>24799</v>
      </c>
      <c r="E24" s="30">
        <f t="shared" si="1"/>
        <v>11.105286503488044</v>
      </c>
      <c r="F24" s="31">
        <f t="shared" si="0"/>
        <v>15.139434934433835</v>
      </c>
    </row>
    <row r="25" spans="1:6">
      <c r="A25" s="40" t="s">
        <v>19</v>
      </c>
      <c r="B25" s="28">
        <v>584</v>
      </c>
      <c r="C25" s="29">
        <v>15</v>
      </c>
      <c r="D25" s="29">
        <f t="shared" si="2"/>
        <v>599</v>
      </c>
      <c r="E25" s="30">
        <f t="shared" si="1"/>
        <v>97.495826377295487</v>
      </c>
      <c r="F25" s="31">
        <f t="shared" si="0"/>
        <v>0.36568093575248473</v>
      </c>
    </row>
    <row r="26" spans="1:6">
      <c r="A26" s="40" t="s">
        <v>20</v>
      </c>
      <c r="B26" s="28">
        <v>6808</v>
      </c>
      <c r="C26" s="29">
        <v>12893</v>
      </c>
      <c r="D26" s="29">
        <f t="shared" si="2"/>
        <v>19701</v>
      </c>
      <c r="E26" s="30">
        <f t="shared" si="1"/>
        <v>34.556621491294855</v>
      </c>
      <c r="F26" s="31">
        <f t="shared" si="0"/>
        <v>12.027178823471955</v>
      </c>
    </row>
    <row r="27" spans="1:6">
      <c r="A27" s="40" t="s">
        <v>21</v>
      </c>
      <c r="B27" s="28">
        <v>7</v>
      </c>
      <c r="C27" s="29">
        <v>78</v>
      </c>
      <c r="D27" s="29">
        <f t="shared" si="2"/>
        <v>85</v>
      </c>
      <c r="E27" s="30">
        <f t="shared" si="1"/>
        <v>8.235294117647058</v>
      </c>
      <c r="F27" s="31">
        <f t="shared" si="0"/>
        <v>5.1891284706112185E-2</v>
      </c>
    </row>
    <row r="28" spans="1:6">
      <c r="A28" s="40" t="s">
        <v>48</v>
      </c>
      <c r="B28" s="28">
        <v>152</v>
      </c>
      <c r="C28" s="29">
        <v>1093</v>
      </c>
      <c r="D28" s="29">
        <f t="shared" si="2"/>
        <v>1245</v>
      </c>
      <c r="E28" s="30">
        <f t="shared" si="1"/>
        <v>12.208835341365463</v>
      </c>
      <c r="F28" s="31">
        <f t="shared" si="0"/>
        <v>0.76005469951893723</v>
      </c>
    </row>
    <row r="29" spans="1:6">
      <c r="A29" s="40" t="s">
        <v>22</v>
      </c>
      <c r="B29" s="28">
        <v>867</v>
      </c>
      <c r="C29" s="29">
        <v>556</v>
      </c>
      <c r="D29" s="29">
        <f t="shared" si="2"/>
        <v>1423</v>
      </c>
      <c r="E29" s="30">
        <f t="shared" si="1"/>
        <v>60.927617709065352</v>
      </c>
      <c r="F29" s="31">
        <f t="shared" si="0"/>
        <v>0.86872115455056043</v>
      </c>
    </row>
    <row r="30" spans="1:6">
      <c r="A30" s="40" t="s">
        <v>23</v>
      </c>
      <c r="B30" s="28">
        <v>345</v>
      </c>
      <c r="C30" s="29">
        <v>502</v>
      </c>
      <c r="D30" s="29">
        <f t="shared" si="2"/>
        <v>847</v>
      </c>
      <c r="E30" s="30">
        <f t="shared" si="1"/>
        <v>40.731995277449826</v>
      </c>
      <c r="F30" s="31">
        <f t="shared" si="0"/>
        <v>0.51708138995384734</v>
      </c>
    </row>
    <row r="31" spans="1:6">
      <c r="A31" s="40" t="s">
        <v>24</v>
      </c>
      <c r="B31" s="28">
        <v>237</v>
      </c>
      <c r="C31" s="29">
        <v>1164</v>
      </c>
      <c r="D31" s="29">
        <f t="shared" si="2"/>
        <v>1401</v>
      </c>
      <c r="E31" s="30">
        <f t="shared" si="1"/>
        <v>16.916488222698074</v>
      </c>
      <c r="F31" s="31">
        <f t="shared" si="0"/>
        <v>0.85529046909721373</v>
      </c>
    </row>
    <row r="32" spans="1:6">
      <c r="A32" s="40" t="s">
        <v>25</v>
      </c>
      <c r="B32" s="28">
        <v>379</v>
      </c>
      <c r="C32" s="29">
        <v>990</v>
      </c>
      <c r="D32" s="29">
        <f t="shared" si="2"/>
        <v>1369</v>
      </c>
      <c r="E32" s="30">
        <f t="shared" si="1"/>
        <v>27.684441197954712</v>
      </c>
      <c r="F32" s="31">
        <f t="shared" si="0"/>
        <v>0.83575492661961859</v>
      </c>
    </row>
    <row r="33" spans="1:7">
      <c r="A33" s="40" t="s">
        <v>26</v>
      </c>
      <c r="B33" s="28">
        <v>16</v>
      </c>
      <c r="C33" s="29">
        <v>105</v>
      </c>
      <c r="D33" s="29">
        <f t="shared" si="2"/>
        <v>121</v>
      </c>
      <c r="E33" s="30">
        <f t="shared" si="1"/>
        <v>13.223140495867769</v>
      </c>
      <c r="F33" s="31">
        <f t="shared" si="0"/>
        <v>7.386876999340676E-2</v>
      </c>
    </row>
    <row r="34" spans="1:7">
      <c r="A34" s="40" t="s">
        <v>27</v>
      </c>
      <c r="B34" s="28">
        <v>8116</v>
      </c>
      <c r="C34" s="29">
        <v>21011</v>
      </c>
      <c r="D34" s="29">
        <f t="shared" si="2"/>
        <v>29127</v>
      </c>
      <c r="E34" s="30">
        <f t="shared" si="1"/>
        <v>27.864181000446322</v>
      </c>
      <c r="F34" s="31">
        <f t="shared" si="0"/>
        <v>17.781617054528585</v>
      </c>
    </row>
    <row r="35" spans="1:7">
      <c r="A35" s="40" t="s">
        <v>28</v>
      </c>
      <c r="B35" s="28">
        <v>1</v>
      </c>
      <c r="C35" s="29">
        <v>351</v>
      </c>
      <c r="D35" s="29">
        <f t="shared" si="2"/>
        <v>352</v>
      </c>
      <c r="E35" s="30">
        <f t="shared" si="1"/>
        <v>0.28409090909090912</v>
      </c>
      <c r="F35" s="31">
        <f t="shared" si="0"/>
        <v>0.21489096725354692</v>
      </c>
    </row>
    <row r="36" spans="1:7">
      <c r="A36" s="40" t="s">
        <v>29</v>
      </c>
      <c r="B36" s="28">
        <v>570</v>
      </c>
      <c r="C36" s="29">
        <v>961</v>
      </c>
      <c r="D36" s="29">
        <f t="shared" si="2"/>
        <v>1531</v>
      </c>
      <c r="E36" s="30">
        <f t="shared" si="1"/>
        <v>37.230568256041799</v>
      </c>
      <c r="F36" s="31">
        <f t="shared" si="0"/>
        <v>0.9346536104124441</v>
      </c>
    </row>
    <row r="37" spans="1:7">
      <c r="A37" s="40" t="s">
        <v>53</v>
      </c>
      <c r="B37" s="28">
        <v>808</v>
      </c>
      <c r="C37" s="29">
        <v>1635</v>
      </c>
      <c r="D37" s="29">
        <f t="shared" si="2"/>
        <v>2443</v>
      </c>
      <c r="E37" s="30">
        <f t="shared" si="1"/>
        <v>33.074089234547685</v>
      </c>
      <c r="F37" s="31">
        <f t="shared" si="0"/>
        <v>1.4914165710239065</v>
      </c>
    </row>
    <row r="38" spans="1:7">
      <c r="A38" s="40" t="s">
        <v>30</v>
      </c>
      <c r="B38" s="28">
        <v>171</v>
      </c>
      <c r="C38" s="29">
        <v>596</v>
      </c>
      <c r="D38" s="29">
        <f t="shared" si="2"/>
        <v>767</v>
      </c>
      <c r="E38" s="30">
        <f t="shared" si="1"/>
        <v>22.294654498044327</v>
      </c>
      <c r="F38" s="31">
        <f t="shared" si="0"/>
        <v>0.46824253375985936</v>
      </c>
    </row>
    <row r="39" spans="1:7">
      <c r="A39" s="40" t="s">
        <v>31</v>
      </c>
      <c r="B39" s="28">
        <v>151</v>
      </c>
      <c r="C39" s="29">
        <v>2557</v>
      </c>
      <c r="D39" s="29">
        <f t="shared" si="2"/>
        <v>2708</v>
      </c>
      <c r="E39" s="30">
        <f t="shared" si="1"/>
        <v>5.5760709010339733</v>
      </c>
      <c r="F39" s="31">
        <f t="shared" si="0"/>
        <v>1.6531952821664915</v>
      </c>
    </row>
    <row r="40" spans="1:7">
      <c r="A40" s="40" t="s">
        <v>32</v>
      </c>
      <c r="B40" s="28">
        <v>155</v>
      </c>
      <c r="C40" s="29">
        <v>3220</v>
      </c>
      <c r="D40" s="29">
        <f t="shared" si="2"/>
        <v>3375</v>
      </c>
      <c r="E40" s="30">
        <f t="shared" si="1"/>
        <v>4.5925925925925926</v>
      </c>
      <c r="F40" s="31">
        <f t="shared" si="0"/>
        <v>2.0603892456838659</v>
      </c>
    </row>
    <row r="41" spans="1:7">
      <c r="A41" s="40" t="s">
        <v>33</v>
      </c>
      <c r="B41" s="28">
        <v>73</v>
      </c>
      <c r="C41" s="29">
        <v>185</v>
      </c>
      <c r="D41" s="29">
        <f t="shared" si="2"/>
        <v>258</v>
      </c>
      <c r="E41" s="30">
        <f t="shared" si="1"/>
        <v>28.294573643410853</v>
      </c>
      <c r="F41" s="31">
        <f t="shared" si="0"/>
        <v>0.15750531122561109</v>
      </c>
    </row>
    <row r="42" spans="1:7">
      <c r="A42" s="40" t="s">
        <v>34</v>
      </c>
      <c r="B42" s="28">
        <v>113</v>
      </c>
      <c r="C42" s="29">
        <v>464</v>
      </c>
      <c r="D42" s="29">
        <f t="shared" si="2"/>
        <v>577</v>
      </c>
      <c r="E42" s="30">
        <f t="shared" si="1"/>
        <v>19.584055459272097</v>
      </c>
      <c r="F42" s="31">
        <f t="shared" si="0"/>
        <v>0.35225025029913803</v>
      </c>
    </row>
    <row r="43" spans="1:7">
      <c r="A43" s="40" t="s">
        <v>35</v>
      </c>
      <c r="B43" s="28">
        <v>333</v>
      </c>
      <c r="C43" s="29">
        <v>2019</v>
      </c>
      <c r="D43" s="29">
        <f t="shared" si="2"/>
        <v>2352</v>
      </c>
      <c r="E43" s="30">
        <v>0</v>
      </c>
      <c r="F43" s="31">
        <f t="shared" si="0"/>
        <v>1.4358623721032453</v>
      </c>
    </row>
    <row r="44" spans="1:7">
      <c r="A44" s="40" t="s">
        <v>36</v>
      </c>
      <c r="B44" s="28">
        <v>151</v>
      </c>
      <c r="C44" s="29">
        <v>1405</v>
      </c>
      <c r="D44" s="29">
        <f t="shared" si="2"/>
        <v>1556</v>
      </c>
      <c r="E44" s="30">
        <f t="shared" si="1"/>
        <v>9.7043701799485866</v>
      </c>
      <c r="F44" s="31">
        <f t="shared" si="0"/>
        <v>0.94991575297306541</v>
      </c>
    </row>
    <row r="45" spans="1:7">
      <c r="A45" s="40" t="s">
        <v>37</v>
      </c>
      <c r="B45" s="28">
        <v>6</v>
      </c>
      <c r="C45" s="29">
        <v>115</v>
      </c>
      <c r="D45" s="29">
        <f t="shared" si="2"/>
        <v>121</v>
      </c>
      <c r="E45" s="30">
        <f t="shared" si="1"/>
        <v>4.9586776859504136</v>
      </c>
      <c r="F45" s="31">
        <f t="shared" si="0"/>
        <v>7.386876999340676E-2</v>
      </c>
    </row>
    <row r="46" spans="1:7">
      <c r="A46" s="40" t="s">
        <v>38</v>
      </c>
      <c r="B46" s="28">
        <v>232</v>
      </c>
      <c r="C46" s="29">
        <v>2300</v>
      </c>
      <c r="D46" s="29">
        <f t="shared" si="2"/>
        <v>2532</v>
      </c>
      <c r="E46" s="30">
        <f t="shared" si="1"/>
        <v>9.1627172195892577</v>
      </c>
      <c r="F46" s="31">
        <f t="shared" si="0"/>
        <v>1.5457497985397184</v>
      </c>
    </row>
    <row r="47" spans="1:7">
      <c r="A47" s="40" t="s">
        <v>39</v>
      </c>
      <c r="B47" s="28">
        <v>81</v>
      </c>
      <c r="C47" s="29">
        <v>164</v>
      </c>
      <c r="D47" s="29">
        <f t="shared" si="2"/>
        <v>245</v>
      </c>
      <c r="E47" s="30">
        <f t="shared" si="1"/>
        <v>33.061224489795919</v>
      </c>
      <c r="F47" s="31">
        <f t="shared" si="0"/>
        <v>0.14956899709408805</v>
      </c>
      <c r="G47" s="17"/>
    </row>
    <row r="48" spans="1:7">
      <c r="A48" s="40" t="s">
        <v>40</v>
      </c>
      <c r="B48" s="28">
        <v>328</v>
      </c>
      <c r="C48" s="29">
        <v>1109</v>
      </c>
      <c r="D48" s="29">
        <f t="shared" si="2"/>
        <v>1437</v>
      </c>
      <c r="E48" s="30">
        <f t="shared" si="1"/>
        <v>22.825330549756437</v>
      </c>
      <c r="F48" s="31">
        <f t="shared" si="0"/>
        <v>0.87726795438450833</v>
      </c>
    </row>
    <row r="49" spans="1:6">
      <c r="A49" s="40" t="s">
        <v>41</v>
      </c>
      <c r="B49" s="28">
        <v>48</v>
      </c>
      <c r="C49" s="29">
        <v>246</v>
      </c>
      <c r="D49" s="29">
        <f t="shared" si="2"/>
        <v>294</v>
      </c>
      <c r="E49" s="30">
        <f t="shared" si="1"/>
        <v>16.326530612244898</v>
      </c>
      <c r="F49" s="31">
        <f t="shared" si="0"/>
        <v>0.17948279651290566</v>
      </c>
    </row>
    <row r="50" spans="1:6">
      <c r="A50" s="40" t="s">
        <v>42</v>
      </c>
      <c r="B50" s="28">
        <v>101</v>
      </c>
      <c r="C50" s="29">
        <v>547</v>
      </c>
      <c r="D50" s="29">
        <f t="shared" si="2"/>
        <v>648</v>
      </c>
      <c r="E50" s="30">
        <f t="shared" si="1"/>
        <v>15.586419753086419</v>
      </c>
      <c r="F50" s="31">
        <f t="shared" si="0"/>
        <v>0.39559473517130228</v>
      </c>
    </row>
    <row r="51" spans="1:6">
      <c r="A51" s="40" t="s">
        <v>43</v>
      </c>
      <c r="B51" s="28">
        <v>212</v>
      </c>
      <c r="C51" s="29">
        <v>3094</v>
      </c>
      <c r="D51" s="29">
        <f t="shared" si="2"/>
        <v>3306</v>
      </c>
      <c r="E51" s="30">
        <f t="shared" si="1"/>
        <v>6.4125831820931642</v>
      </c>
      <c r="F51" s="31">
        <f t="shared" si="0"/>
        <v>2.0182657322165518</v>
      </c>
    </row>
    <row r="52" spans="1:6">
      <c r="A52" s="40" t="s">
        <v>44</v>
      </c>
      <c r="B52" s="28">
        <v>131</v>
      </c>
      <c r="C52" s="29">
        <v>1349</v>
      </c>
      <c r="D52" s="29">
        <f t="shared" si="2"/>
        <v>1480</v>
      </c>
      <c r="E52" s="30">
        <f t="shared" si="1"/>
        <v>8.8513513513513509</v>
      </c>
      <c r="F52" s="31">
        <f t="shared" si="0"/>
        <v>0.90351883958877688</v>
      </c>
    </row>
    <row r="53" spans="1:6">
      <c r="A53" s="40" t="s">
        <v>45</v>
      </c>
      <c r="B53" s="28">
        <v>222</v>
      </c>
      <c r="C53" s="29">
        <v>1114</v>
      </c>
      <c r="D53" s="29">
        <f t="shared" si="2"/>
        <v>1336</v>
      </c>
      <c r="E53" s="30">
        <f t="shared" si="1"/>
        <v>16.616766467065869</v>
      </c>
      <c r="F53" s="31">
        <f t="shared" si="0"/>
        <v>0.8156088984395985</v>
      </c>
    </row>
    <row r="54" spans="1:6">
      <c r="A54" s="40" t="s">
        <v>46</v>
      </c>
      <c r="B54" s="28">
        <v>332</v>
      </c>
      <c r="C54" s="29">
        <v>212</v>
      </c>
      <c r="D54" s="29">
        <f t="shared" si="2"/>
        <v>544</v>
      </c>
      <c r="E54" s="30">
        <f t="shared" si="1"/>
        <v>61.029411764705884</v>
      </c>
      <c r="F54" s="31">
        <f t="shared" si="0"/>
        <v>0.33210422211911794</v>
      </c>
    </row>
    <row r="55" spans="1:6">
      <c r="A55" s="12"/>
      <c r="B55" s="32">
        <f>SUM(B7:B54)</f>
        <v>33670</v>
      </c>
      <c r="C55" s="32">
        <f>SUM(C7:C54)</f>
        <v>130134</v>
      </c>
      <c r="D55" s="32">
        <f>SUM(D7:D54)</f>
        <v>163804</v>
      </c>
      <c r="E55" s="36">
        <f>(B55*100)/D55</f>
        <v>20.555053600644673</v>
      </c>
      <c r="F55" s="38"/>
    </row>
    <row r="56" spans="1:6">
      <c r="A56" s="12"/>
      <c r="B56" s="13"/>
      <c r="C56" s="2"/>
      <c r="D56" s="2"/>
      <c r="E56" s="15"/>
      <c r="F56" s="1"/>
    </row>
  </sheetData>
  <mergeCells count="3">
    <mergeCell ref="A2:F2"/>
    <mergeCell ref="A3:F3"/>
    <mergeCell ref="B5:F5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zoomScaleSheetLayoutView="100" workbookViewId="0">
      <selection activeCell="F1" sqref="F1"/>
    </sheetView>
  </sheetViews>
  <sheetFormatPr defaultColWidth="11.42578125" defaultRowHeight="12.75"/>
  <cols>
    <col min="1" max="1" width="24.7109375" customWidth="1"/>
    <col min="2" max="3" width="11.42578125" customWidth="1"/>
    <col min="4" max="4" width="9.42578125" bestFit="1" customWidth="1"/>
    <col min="5" max="5" width="11.85546875" bestFit="1" customWidth="1"/>
  </cols>
  <sheetData>
    <row r="1" spans="1:6">
      <c r="A1" s="1"/>
      <c r="B1" s="1"/>
      <c r="C1" s="2"/>
      <c r="D1" s="1"/>
      <c r="E1" s="1"/>
      <c r="F1" s="1"/>
    </row>
    <row r="2" spans="1:6" ht="15">
      <c r="A2" s="155" t="s">
        <v>67</v>
      </c>
      <c r="B2" s="155"/>
      <c r="C2" s="155"/>
      <c r="D2" s="155"/>
      <c r="E2" s="155"/>
      <c r="F2" s="155"/>
    </row>
    <row r="3" spans="1:6" ht="15">
      <c r="A3" s="156" t="s">
        <v>68</v>
      </c>
      <c r="B3" s="156"/>
      <c r="C3" s="156"/>
      <c r="D3" s="156"/>
      <c r="E3" s="156"/>
      <c r="F3" s="156"/>
    </row>
    <row r="4" spans="1:6" ht="13.5" thickBot="1">
      <c r="A4" s="1"/>
      <c r="B4" s="1"/>
      <c r="C4" s="2"/>
      <c r="D4" s="1"/>
      <c r="E4" s="1"/>
      <c r="F4" s="1"/>
    </row>
    <row r="5" spans="1:6">
      <c r="A5" s="19"/>
      <c r="B5" s="158"/>
      <c r="C5" s="158"/>
      <c r="D5" s="158"/>
      <c r="E5" s="158"/>
      <c r="F5" s="159"/>
    </row>
    <row r="6" spans="1:6" ht="13.5" thickBot="1">
      <c r="A6" s="20" t="s">
        <v>71</v>
      </c>
      <c r="B6" s="21" t="s">
        <v>72</v>
      </c>
      <c r="C6" s="21" t="s">
        <v>73</v>
      </c>
      <c r="D6" s="21" t="s">
        <v>74</v>
      </c>
      <c r="E6" s="21" t="s">
        <v>75</v>
      </c>
      <c r="F6" s="22" t="s">
        <v>76</v>
      </c>
    </row>
    <row r="7" spans="1:6">
      <c r="A7" s="40" t="s">
        <v>0</v>
      </c>
      <c r="B7" s="28">
        <v>356</v>
      </c>
      <c r="C7" s="29">
        <v>2380</v>
      </c>
      <c r="D7" s="29">
        <f>SUM(B7:C7)</f>
        <v>2736</v>
      </c>
      <c r="E7" s="30">
        <f>B7*100/D7</f>
        <v>13.011695906432749</v>
      </c>
      <c r="F7" s="31">
        <f t="shared" ref="F7:F53" si="0">(D7/$D$54)*100</f>
        <v>1.6296287472229005</v>
      </c>
    </row>
    <row r="8" spans="1:6">
      <c r="A8" s="40" t="s">
        <v>1</v>
      </c>
      <c r="B8" s="28">
        <v>271</v>
      </c>
      <c r="C8" s="29">
        <v>2175</v>
      </c>
      <c r="D8" s="29">
        <f t="shared" ref="D8:D53" si="1">SUM(B8:C8)</f>
        <v>2446</v>
      </c>
      <c r="E8" s="30">
        <f t="shared" ref="E8:E53" si="2">B8*100/D8</f>
        <v>11.079313164349958</v>
      </c>
      <c r="F8" s="31">
        <f t="shared" si="0"/>
        <v>1.4568976300099468</v>
      </c>
    </row>
    <row r="9" spans="1:6">
      <c r="A9" s="40" t="s">
        <v>2</v>
      </c>
      <c r="B9" s="28">
        <v>640</v>
      </c>
      <c r="C9" s="29">
        <v>1565</v>
      </c>
      <c r="D9" s="29">
        <f t="shared" si="1"/>
        <v>2205</v>
      </c>
      <c r="E9" s="30">
        <f t="shared" si="2"/>
        <v>29.024943310657598</v>
      </c>
      <c r="F9" s="31">
        <f t="shared" si="0"/>
        <v>1.3133521153605614</v>
      </c>
    </row>
    <row r="10" spans="1:6">
      <c r="A10" s="40" t="s">
        <v>3</v>
      </c>
      <c r="B10" s="28">
        <v>49</v>
      </c>
      <c r="C10" s="37">
        <v>683</v>
      </c>
      <c r="D10" s="29">
        <f t="shared" si="1"/>
        <v>732</v>
      </c>
      <c r="E10" s="30">
        <f t="shared" si="2"/>
        <v>6.693989071038251</v>
      </c>
      <c r="F10" s="31">
        <f t="shared" si="0"/>
        <v>0.43599716482717954</v>
      </c>
    </row>
    <row r="11" spans="1:6">
      <c r="A11" s="40" t="s">
        <v>4</v>
      </c>
      <c r="B11" s="28">
        <v>105</v>
      </c>
      <c r="C11" s="29">
        <v>168</v>
      </c>
      <c r="D11" s="29">
        <f t="shared" si="1"/>
        <v>273</v>
      </c>
      <c r="E11" s="30">
        <f t="shared" si="2"/>
        <v>38.46153846153846</v>
      </c>
      <c r="F11" s="31">
        <f t="shared" si="0"/>
        <v>0.1626054999970219</v>
      </c>
    </row>
    <row r="12" spans="1:6">
      <c r="A12" s="40" t="s">
        <v>5</v>
      </c>
      <c r="B12" s="28">
        <v>3336</v>
      </c>
      <c r="C12" s="29">
        <v>6097</v>
      </c>
      <c r="D12" s="29">
        <f t="shared" si="1"/>
        <v>9433</v>
      </c>
      <c r="E12" s="30">
        <f t="shared" si="2"/>
        <v>35.365207251139616</v>
      </c>
      <c r="F12" s="31">
        <f t="shared" si="0"/>
        <v>5.6185263057579027</v>
      </c>
    </row>
    <row r="13" spans="1:6">
      <c r="A13" s="40" t="s">
        <v>6</v>
      </c>
      <c r="B13" s="28">
        <v>1214</v>
      </c>
      <c r="C13" s="29">
        <v>2991</v>
      </c>
      <c r="D13" s="29">
        <f t="shared" si="1"/>
        <v>4205</v>
      </c>
      <c r="E13" s="30">
        <f t="shared" si="2"/>
        <v>28.87039239001189</v>
      </c>
      <c r="F13" s="31">
        <f t="shared" si="0"/>
        <v>2.5046011995878281</v>
      </c>
    </row>
    <row r="14" spans="1:6">
      <c r="A14" s="40" t="s">
        <v>7</v>
      </c>
      <c r="B14" s="28">
        <v>156</v>
      </c>
      <c r="C14" s="29">
        <v>198</v>
      </c>
      <c r="D14" s="29">
        <f t="shared" si="1"/>
        <v>354</v>
      </c>
      <c r="E14" s="30">
        <f t="shared" si="2"/>
        <v>44.067796610169495</v>
      </c>
      <c r="F14" s="31">
        <f t="shared" si="0"/>
        <v>0.21085108790822618</v>
      </c>
    </row>
    <row r="15" spans="1:6">
      <c r="A15" s="40" t="s">
        <v>8</v>
      </c>
      <c r="B15" s="28">
        <v>562</v>
      </c>
      <c r="C15" s="29">
        <v>3387</v>
      </c>
      <c r="D15" s="29">
        <f t="shared" si="1"/>
        <v>3949</v>
      </c>
      <c r="E15" s="30">
        <f t="shared" si="2"/>
        <v>14.231451000253228</v>
      </c>
      <c r="F15" s="31">
        <f t="shared" si="0"/>
        <v>2.3521213168067376</v>
      </c>
    </row>
    <row r="16" spans="1:6">
      <c r="A16" s="40" t="s">
        <v>9</v>
      </c>
      <c r="B16" s="28">
        <v>19</v>
      </c>
      <c r="C16" s="29">
        <v>205</v>
      </c>
      <c r="D16" s="29">
        <f t="shared" si="1"/>
        <v>224</v>
      </c>
      <c r="E16" s="30">
        <f t="shared" si="2"/>
        <v>8.4821428571428577</v>
      </c>
      <c r="F16" s="31">
        <f t="shared" si="0"/>
        <v>0.13341989743345384</v>
      </c>
    </row>
    <row r="17" spans="1:6">
      <c r="A17" s="40" t="s">
        <v>10</v>
      </c>
      <c r="B17" s="28">
        <v>77</v>
      </c>
      <c r="C17" s="29">
        <v>17499</v>
      </c>
      <c r="D17" s="29">
        <f t="shared" si="1"/>
        <v>17576</v>
      </c>
      <c r="E17" s="30">
        <f t="shared" si="2"/>
        <v>0.43809740555302684</v>
      </c>
      <c r="F17" s="31">
        <f t="shared" si="0"/>
        <v>10.468696952189219</v>
      </c>
    </row>
    <row r="18" spans="1:6">
      <c r="A18" s="40" t="s">
        <v>11</v>
      </c>
      <c r="B18" s="28">
        <v>291</v>
      </c>
      <c r="C18" s="29">
        <v>7915</v>
      </c>
      <c r="D18" s="29">
        <f t="shared" si="1"/>
        <v>8206</v>
      </c>
      <c r="E18" s="30">
        <f t="shared" si="2"/>
        <v>3.5461857177674871</v>
      </c>
      <c r="F18" s="31">
        <f t="shared" si="0"/>
        <v>4.8876949925844748</v>
      </c>
    </row>
    <row r="19" spans="1:6">
      <c r="A19" s="40" t="s">
        <v>12</v>
      </c>
      <c r="B19" s="28">
        <v>22</v>
      </c>
      <c r="C19" s="29">
        <v>521</v>
      </c>
      <c r="D19" s="29">
        <f t="shared" si="1"/>
        <v>543</v>
      </c>
      <c r="E19" s="30">
        <f t="shared" si="2"/>
        <v>4.0515653775322287</v>
      </c>
      <c r="F19" s="31">
        <f t="shared" si="0"/>
        <v>0.32342412636770285</v>
      </c>
    </row>
    <row r="20" spans="1:6">
      <c r="A20" s="40" t="s">
        <v>13</v>
      </c>
      <c r="B20" s="28">
        <v>2275</v>
      </c>
      <c r="C20" s="29">
        <v>1973</v>
      </c>
      <c r="D20" s="29">
        <f t="shared" si="1"/>
        <v>4248</v>
      </c>
      <c r="E20" s="30">
        <f t="shared" si="2"/>
        <v>53.554613935969869</v>
      </c>
      <c r="F20" s="31">
        <f t="shared" si="0"/>
        <v>2.5302130548987138</v>
      </c>
    </row>
    <row r="21" spans="1:6">
      <c r="A21" s="40" t="s">
        <v>52</v>
      </c>
      <c r="B21" s="28">
        <v>152</v>
      </c>
      <c r="C21" s="29">
        <v>400</v>
      </c>
      <c r="D21" s="29">
        <f t="shared" si="1"/>
        <v>552</v>
      </c>
      <c r="E21" s="30">
        <f t="shared" si="2"/>
        <v>27.536231884057973</v>
      </c>
      <c r="F21" s="31">
        <f t="shared" si="0"/>
        <v>0.32878474724672552</v>
      </c>
    </row>
    <row r="22" spans="1:6">
      <c r="A22" s="40" t="s">
        <v>15</v>
      </c>
      <c r="B22" s="28">
        <v>44</v>
      </c>
      <c r="C22" s="29">
        <v>95</v>
      </c>
      <c r="D22" s="29">
        <f t="shared" si="1"/>
        <v>139</v>
      </c>
      <c r="E22" s="30">
        <f>B22*100/D22</f>
        <v>31.654676258992804</v>
      </c>
      <c r="F22" s="31">
        <f t="shared" si="0"/>
        <v>8.2791811353795014E-2</v>
      </c>
    </row>
    <row r="23" spans="1:6">
      <c r="A23" s="40" t="s">
        <v>17</v>
      </c>
      <c r="B23" s="28">
        <v>2851</v>
      </c>
      <c r="C23" s="29">
        <v>22706</v>
      </c>
      <c r="D23" s="29">
        <f t="shared" si="1"/>
        <v>25557</v>
      </c>
      <c r="E23" s="30">
        <f t="shared" si="2"/>
        <v>11.155456430723481</v>
      </c>
      <c r="F23" s="31">
        <f t="shared" si="0"/>
        <v>15.222376422798126</v>
      </c>
    </row>
    <row r="24" spans="1:6">
      <c r="A24" s="40" t="s">
        <v>19</v>
      </c>
      <c r="B24" s="28">
        <v>400</v>
      </c>
      <c r="C24" s="29">
        <v>9</v>
      </c>
      <c r="D24" s="29">
        <f t="shared" si="1"/>
        <v>409</v>
      </c>
      <c r="E24" s="30">
        <f t="shared" si="2"/>
        <v>97.799511002444987</v>
      </c>
      <c r="F24" s="31">
        <f t="shared" si="0"/>
        <v>0.24361043772447599</v>
      </c>
    </row>
    <row r="25" spans="1:6">
      <c r="A25" s="40" t="s">
        <v>20</v>
      </c>
      <c r="B25" s="28">
        <v>7029</v>
      </c>
      <c r="C25" s="29">
        <v>13430</v>
      </c>
      <c r="D25" s="29">
        <f t="shared" si="1"/>
        <v>20459</v>
      </c>
      <c r="E25" s="30">
        <f t="shared" si="2"/>
        <v>34.35651791387653</v>
      </c>
      <c r="F25" s="31">
        <f t="shared" si="0"/>
        <v>12.185882507102823</v>
      </c>
    </row>
    <row r="26" spans="1:6">
      <c r="A26" s="40" t="s">
        <v>21</v>
      </c>
      <c r="B26" s="28">
        <v>9</v>
      </c>
      <c r="C26" s="29">
        <v>143</v>
      </c>
      <c r="D26" s="29">
        <f t="shared" si="1"/>
        <v>152</v>
      </c>
      <c r="E26" s="30">
        <f t="shared" si="2"/>
        <v>5.9210526315789478</v>
      </c>
      <c r="F26" s="31">
        <f t="shared" si="0"/>
        <v>9.0534930401272251E-2</v>
      </c>
    </row>
    <row r="27" spans="1:6">
      <c r="A27" s="40" t="s">
        <v>48</v>
      </c>
      <c r="B27" s="28">
        <v>86</v>
      </c>
      <c r="C27" s="29">
        <v>774</v>
      </c>
      <c r="D27" s="29">
        <f t="shared" si="1"/>
        <v>860</v>
      </c>
      <c r="E27" s="30">
        <f t="shared" si="2"/>
        <v>10</v>
      </c>
      <c r="F27" s="31">
        <f t="shared" si="0"/>
        <v>0.51223710621772456</v>
      </c>
    </row>
    <row r="28" spans="1:6">
      <c r="A28" s="40" t="s">
        <v>22</v>
      </c>
      <c r="B28" s="28">
        <v>779</v>
      </c>
      <c r="C28" s="29">
        <v>526</v>
      </c>
      <c r="D28" s="29">
        <f t="shared" si="1"/>
        <v>1305</v>
      </c>
      <c r="E28" s="30">
        <f t="shared" si="2"/>
        <v>59.693486590038312</v>
      </c>
      <c r="F28" s="31">
        <f t="shared" si="0"/>
        <v>0.77729002745829134</v>
      </c>
    </row>
    <row r="29" spans="1:6">
      <c r="A29" s="40" t="s">
        <v>23</v>
      </c>
      <c r="B29" s="28">
        <v>259</v>
      </c>
      <c r="C29" s="29">
        <v>421</v>
      </c>
      <c r="D29" s="29">
        <f t="shared" si="1"/>
        <v>680</v>
      </c>
      <c r="E29" s="30">
        <f t="shared" si="2"/>
        <v>38.088235294117645</v>
      </c>
      <c r="F29" s="31">
        <f t="shared" si="0"/>
        <v>0.40502468863727059</v>
      </c>
    </row>
    <row r="30" spans="1:6">
      <c r="A30" s="40" t="s">
        <v>24</v>
      </c>
      <c r="B30" s="28">
        <v>223</v>
      </c>
      <c r="C30" s="29">
        <v>1206</v>
      </c>
      <c r="D30" s="29">
        <f t="shared" si="1"/>
        <v>1429</v>
      </c>
      <c r="E30" s="30">
        <f t="shared" si="2"/>
        <v>15.605318404478657</v>
      </c>
      <c r="F30" s="31">
        <f t="shared" si="0"/>
        <v>0.85114747068038188</v>
      </c>
    </row>
    <row r="31" spans="1:6">
      <c r="A31" s="40" t="s">
        <v>25</v>
      </c>
      <c r="B31" s="28">
        <v>363</v>
      </c>
      <c r="C31" s="29">
        <v>1003</v>
      </c>
      <c r="D31" s="29">
        <f t="shared" si="1"/>
        <v>1366</v>
      </c>
      <c r="E31" s="30">
        <f t="shared" si="2"/>
        <v>26.573938506588579</v>
      </c>
      <c r="F31" s="31">
        <f t="shared" si="0"/>
        <v>0.81362312452722307</v>
      </c>
    </row>
    <row r="32" spans="1:6">
      <c r="A32" s="40" t="s">
        <v>26</v>
      </c>
      <c r="B32" s="28">
        <v>16</v>
      </c>
      <c r="C32" s="29">
        <v>92</v>
      </c>
      <c r="D32" s="29">
        <f t="shared" si="1"/>
        <v>108</v>
      </c>
      <c r="E32" s="30">
        <f t="shared" si="2"/>
        <v>14.814814814814815</v>
      </c>
      <c r="F32" s="31">
        <f t="shared" si="0"/>
        <v>6.4327450548272394E-2</v>
      </c>
    </row>
    <row r="33" spans="1:7">
      <c r="A33" s="40" t="s">
        <v>27</v>
      </c>
      <c r="B33" s="28">
        <v>8284</v>
      </c>
      <c r="C33" s="29">
        <v>21754</v>
      </c>
      <c r="D33" s="29">
        <f t="shared" si="1"/>
        <v>30038</v>
      </c>
      <c r="E33" s="30">
        <f t="shared" si="2"/>
        <v>27.578400692456221</v>
      </c>
      <c r="F33" s="31">
        <f t="shared" si="0"/>
        <v>17.891369996009317</v>
      </c>
    </row>
    <row r="34" spans="1:7">
      <c r="A34" s="40" t="s">
        <v>28</v>
      </c>
      <c r="B34" s="28">
        <v>3</v>
      </c>
      <c r="C34" s="29">
        <v>386</v>
      </c>
      <c r="D34" s="29">
        <f t="shared" si="1"/>
        <v>389</v>
      </c>
      <c r="E34" s="30">
        <f t="shared" si="2"/>
        <v>0.77120822622107965</v>
      </c>
      <c r="F34" s="31">
        <f t="shared" si="0"/>
        <v>0.23169794688220335</v>
      </c>
    </row>
    <row r="35" spans="1:7">
      <c r="A35" s="40" t="s">
        <v>29</v>
      </c>
      <c r="B35" s="28">
        <v>554</v>
      </c>
      <c r="C35" s="29">
        <v>931</v>
      </c>
      <c r="D35" s="29">
        <f t="shared" si="1"/>
        <v>1485</v>
      </c>
      <c r="E35" s="30">
        <f t="shared" si="2"/>
        <v>37.306397306397308</v>
      </c>
      <c r="F35" s="31">
        <f t="shared" si="0"/>
        <v>0.88450244503874531</v>
      </c>
    </row>
    <row r="36" spans="1:7">
      <c r="A36" s="40" t="s">
        <v>53</v>
      </c>
      <c r="B36" s="28">
        <v>855</v>
      </c>
      <c r="C36" s="29">
        <v>1863</v>
      </c>
      <c r="D36" s="29">
        <f t="shared" si="1"/>
        <v>2718</v>
      </c>
      <c r="E36" s="30">
        <f t="shared" si="2"/>
        <v>31.456953642384107</v>
      </c>
      <c r="F36" s="31">
        <f t="shared" si="0"/>
        <v>1.618907505464855</v>
      </c>
    </row>
    <row r="37" spans="1:7">
      <c r="A37" s="40" t="s">
        <v>30</v>
      </c>
      <c r="B37" s="28">
        <v>118</v>
      </c>
      <c r="C37" s="29">
        <v>518</v>
      </c>
      <c r="D37" s="29">
        <f t="shared" si="1"/>
        <v>636</v>
      </c>
      <c r="E37" s="30">
        <f t="shared" si="2"/>
        <v>18.553459119496857</v>
      </c>
      <c r="F37" s="31">
        <f t="shared" si="0"/>
        <v>0.37881720878427072</v>
      </c>
    </row>
    <row r="38" spans="1:7">
      <c r="A38" s="40" t="s">
        <v>31</v>
      </c>
      <c r="B38" s="28">
        <v>159</v>
      </c>
      <c r="C38" s="29">
        <v>2515</v>
      </c>
      <c r="D38" s="29">
        <f t="shared" si="1"/>
        <v>2674</v>
      </c>
      <c r="E38" s="30">
        <f t="shared" si="2"/>
        <v>5.9461480927449513</v>
      </c>
      <c r="F38" s="31">
        <f t="shared" si="0"/>
        <v>1.5927000256118553</v>
      </c>
    </row>
    <row r="39" spans="1:7">
      <c r="A39" s="40" t="s">
        <v>32</v>
      </c>
      <c r="B39" s="28">
        <v>64</v>
      </c>
      <c r="C39" s="29">
        <v>2028</v>
      </c>
      <c r="D39" s="29">
        <f t="shared" si="1"/>
        <v>2092</v>
      </c>
      <c r="E39" s="30">
        <f t="shared" si="2"/>
        <v>3.0592734225621414</v>
      </c>
      <c r="F39" s="31">
        <f t="shared" si="0"/>
        <v>1.2460465421017208</v>
      </c>
    </row>
    <row r="40" spans="1:7">
      <c r="A40" s="40" t="s">
        <v>33</v>
      </c>
      <c r="B40" s="28">
        <v>51</v>
      </c>
      <c r="C40" s="29">
        <v>208</v>
      </c>
      <c r="D40" s="29">
        <f t="shared" si="1"/>
        <v>259</v>
      </c>
      <c r="E40" s="30">
        <f t="shared" si="2"/>
        <v>19.691119691119692</v>
      </c>
      <c r="F40" s="31">
        <f t="shared" si="0"/>
        <v>0.15426675640743101</v>
      </c>
    </row>
    <row r="41" spans="1:7">
      <c r="A41" s="40" t="s">
        <v>34</v>
      </c>
      <c r="B41" s="28">
        <v>108</v>
      </c>
      <c r="C41" s="29">
        <v>529</v>
      </c>
      <c r="D41" s="29">
        <f t="shared" si="1"/>
        <v>637</v>
      </c>
      <c r="E41" s="30">
        <f t="shared" si="2"/>
        <v>16.954474097331239</v>
      </c>
      <c r="F41" s="31">
        <f t="shared" si="0"/>
        <v>0.37941283332638437</v>
      </c>
    </row>
    <row r="42" spans="1:7">
      <c r="A42" s="40" t="s">
        <v>35</v>
      </c>
      <c r="B42" s="28">
        <v>336</v>
      </c>
      <c r="C42" s="29">
        <v>1982</v>
      </c>
      <c r="D42" s="29">
        <f t="shared" si="1"/>
        <v>2318</v>
      </c>
      <c r="E42" s="30">
        <f t="shared" si="2"/>
        <v>14.49525452976704</v>
      </c>
      <c r="F42" s="31">
        <f t="shared" si="0"/>
        <v>1.3806576886194017</v>
      </c>
    </row>
    <row r="43" spans="1:7">
      <c r="A43" s="40" t="s">
        <v>36</v>
      </c>
      <c r="B43" s="28">
        <v>134</v>
      </c>
      <c r="C43" s="29">
        <v>1487</v>
      </c>
      <c r="D43" s="29">
        <f t="shared" si="1"/>
        <v>1621</v>
      </c>
      <c r="E43" s="30">
        <f t="shared" si="2"/>
        <v>8.2665021591610124</v>
      </c>
      <c r="F43" s="31">
        <f t="shared" si="0"/>
        <v>0.96550738276619952</v>
      </c>
    </row>
    <row r="44" spans="1:7">
      <c r="A44" s="40" t="s">
        <v>37</v>
      </c>
      <c r="B44" s="28">
        <v>5</v>
      </c>
      <c r="C44" s="29">
        <v>86</v>
      </c>
      <c r="D44" s="29">
        <f t="shared" si="1"/>
        <v>91</v>
      </c>
      <c r="E44" s="30">
        <f t="shared" si="2"/>
        <v>5.4945054945054945</v>
      </c>
      <c r="F44" s="31">
        <f t="shared" si="0"/>
        <v>5.4201833332340618E-2</v>
      </c>
    </row>
    <row r="45" spans="1:7">
      <c r="A45" s="40" t="s">
        <v>38</v>
      </c>
      <c r="B45" s="28">
        <v>320</v>
      </c>
      <c r="C45" s="29">
        <v>2375</v>
      </c>
      <c r="D45" s="29">
        <f t="shared" si="1"/>
        <v>2695</v>
      </c>
      <c r="E45" s="30">
        <f t="shared" si="2"/>
        <v>11.873840445269016</v>
      </c>
      <c r="F45" s="31">
        <f t="shared" si="0"/>
        <v>1.6052081409962418</v>
      </c>
    </row>
    <row r="46" spans="1:7">
      <c r="A46" s="40" t="s">
        <v>39</v>
      </c>
      <c r="B46" s="28">
        <v>154</v>
      </c>
      <c r="C46" s="29">
        <v>465</v>
      </c>
      <c r="D46" s="29">
        <f t="shared" si="1"/>
        <v>619</v>
      </c>
      <c r="E46" s="30">
        <f t="shared" si="2"/>
        <v>24.878836833602584</v>
      </c>
      <c r="F46" s="31">
        <f t="shared" si="0"/>
        <v>0.36869159156833903</v>
      </c>
      <c r="G46" s="17"/>
    </row>
    <row r="47" spans="1:7">
      <c r="A47" s="40" t="s">
        <v>40</v>
      </c>
      <c r="B47" s="28">
        <v>304</v>
      </c>
      <c r="C47" s="29">
        <v>1139</v>
      </c>
      <c r="D47" s="29">
        <f t="shared" si="1"/>
        <v>1443</v>
      </c>
      <c r="E47" s="30">
        <f t="shared" si="2"/>
        <v>21.067221067221066</v>
      </c>
      <c r="F47" s="31">
        <f t="shared" si="0"/>
        <v>0.85948621426997274</v>
      </c>
    </row>
    <row r="48" spans="1:7">
      <c r="A48" s="40" t="s">
        <v>41</v>
      </c>
      <c r="B48" s="28">
        <v>33</v>
      </c>
      <c r="C48" s="29">
        <v>351</v>
      </c>
      <c r="D48" s="29">
        <f t="shared" si="1"/>
        <v>384</v>
      </c>
      <c r="E48" s="30">
        <f t="shared" si="2"/>
        <v>8.59375</v>
      </c>
      <c r="F48" s="31">
        <f t="shared" si="0"/>
        <v>0.22871982417163517</v>
      </c>
    </row>
    <row r="49" spans="1:6">
      <c r="A49" s="40" t="s">
        <v>42</v>
      </c>
      <c r="B49" s="28">
        <v>97</v>
      </c>
      <c r="C49" s="29">
        <v>548</v>
      </c>
      <c r="D49" s="29">
        <f t="shared" si="1"/>
        <v>645</v>
      </c>
      <c r="E49" s="30">
        <f t="shared" si="2"/>
        <v>15.038759689922481</v>
      </c>
      <c r="F49" s="31">
        <f t="shared" si="0"/>
        <v>0.38417782966329345</v>
      </c>
    </row>
    <row r="50" spans="1:6">
      <c r="A50" s="40" t="s">
        <v>43</v>
      </c>
      <c r="B50" s="28">
        <v>212</v>
      </c>
      <c r="C50" s="29">
        <v>2941</v>
      </c>
      <c r="D50" s="29">
        <f t="shared" si="1"/>
        <v>3153</v>
      </c>
      <c r="E50" s="30">
        <f t="shared" si="2"/>
        <v>6.7237551538217568</v>
      </c>
      <c r="F50" s="31">
        <f t="shared" si="0"/>
        <v>1.8780041812842856</v>
      </c>
    </row>
    <row r="51" spans="1:6">
      <c r="A51" s="40" t="s">
        <v>44</v>
      </c>
      <c r="B51" s="28">
        <v>145</v>
      </c>
      <c r="C51" s="29">
        <v>1477</v>
      </c>
      <c r="D51" s="29">
        <f t="shared" si="1"/>
        <v>1622</v>
      </c>
      <c r="E51" s="30">
        <f t="shared" si="2"/>
        <v>8.9395807644882854</v>
      </c>
      <c r="F51" s="31">
        <f t="shared" si="0"/>
        <v>0.96610300730831311</v>
      </c>
    </row>
    <row r="52" spans="1:6">
      <c r="A52" s="40" t="s">
        <v>45</v>
      </c>
      <c r="B52" s="28">
        <v>251</v>
      </c>
      <c r="C52" s="29">
        <v>1210</v>
      </c>
      <c r="D52" s="29">
        <f t="shared" si="1"/>
        <v>1461</v>
      </c>
      <c r="E52" s="30">
        <f t="shared" si="2"/>
        <v>17.180013689253936</v>
      </c>
      <c r="F52" s="31">
        <f t="shared" si="0"/>
        <v>0.87020745602801819</v>
      </c>
    </row>
    <row r="53" spans="1:6">
      <c r="A53" s="40" t="s">
        <v>46</v>
      </c>
      <c r="B53" s="28">
        <v>519</v>
      </c>
      <c r="C53" s="29">
        <v>246</v>
      </c>
      <c r="D53" s="29">
        <f t="shared" si="1"/>
        <v>765</v>
      </c>
      <c r="E53" s="30">
        <f t="shared" si="2"/>
        <v>67.843137254901961</v>
      </c>
      <c r="F53" s="31">
        <f t="shared" si="0"/>
        <v>0.45565277471692944</v>
      </c>
    </row>
    <row r="54" spans="1:6">
      <c r="A54" s="12"/>
      <c r="B54" s="39">
        <f>SUM(B7:B53)</f>
        <v>34290</v>
      </c>
      <c r="C54" s="39">
        <f>SUM(C7:C53)</f>
        <v>133601</v>
      </c>
      <c r="D54" s="39">
        <f>SUM(D7:D53)</f>
        <v>167891</v>
      </c>
      <c r="E54" s="36">
        <f>(B54*100)/D54</f>
        <v>20.423965549076485</v>
      </c>
      <c r="F54" s="38"/>
    </row>
    <row r="55" spans="1:6">
      <c r="A55" s="12"/>
      <c r="B55" s="13"/>
      <c r="C55" s="2"/>
      <c r="D55" s="2"/>
      <c r="E55" s="15"/>
      <c r="F55" s="1"/>
    </row>
  </sheetData>
  <mergeCells count="3">
    <mergeCell ref="A2:F2"/>
    <mergeCell ref="A3:F3"/>
    <mergeCell ref="B5:F5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659fad-a541-4ebd-b9b3-631874470bf7" xsi:nil="true"/>
    <lcf76f155ced4ddcb4097134ff3c332f xmlns="0b9572f9-f8a3-48e6-bf28-e2cb828c960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CE1D3ABA01A54E42B5E3F5998D088546" ma:contentTypeVersion="17" ma:contentTypeDescription="Sortu dokumentu berri bat." ma:contentTypeScope="" ma:versionID="63bb05dd0fd2f7b33d0819bf2268ece7">
  <xsd:schema xmlns:xsd="http://www.w3.org/2001/XMLSchema" xmlns:xs="http://www.w3.org/2001/XMLSchema" xmlns:p="http://schemas.microsoft.com/office/2006/metadata/properties" xmlns:ns2="0b9572f9-f8a3-48e6-bf28-e2cb828c960b" xmlns:ns3="87659fad-a541-4ebd-b9b3-631874470bf7" targetNamespace="http://schemas.microsoft.com/office/2006/metadata/properties" ma:root="true" ma:fieldsID="6a049003dad75cc0092a35c9a71e76bf" ns2:_="" ns3:_="">
    <xsd:import namespace="0b9572f9-f8a3-48e6-bf28-e2cb828c960b"/>
    <xsd:import namespace="87659fad-a541-4ebd-b9b3-631874470b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572f9-f8a3-48e6-bf28-e2cb828c9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59fad-a541-4ebd-b9b3-631874470b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32c3739-4e65-4d50-9fac-9bf461b8dd8b}" ma:internalName="TaxCatchAll" ma:showField="CatchAllData" ma:web="87659fad-a541-4ebd-b9b3-631874470b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8DC94-0DFB-4E61-964F-4874BE432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A3E16-EADC-4CDA-B848-372366AA8CA6}">
  <ds:schemaRefs>
    <ds:schemaRef ds:uri="http://purl.org/dc/elements/1.1/"/>
    <ds:schemaRef ds:uri="http://schemas.microsoft.com/office/2006/metadata/properties"/>
    <ds:schemaRef ds:uri="0b9572f9-f8a3-48e6-bf28-e2cb828c960b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7659fad-a541-4ebd-b9b3-631874470bf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29D004-2AEB-4E9F-BF8E-B1F84FDD6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572f9-f8a3-48e6-bf28-e2cb828c960b"/>
    <ds:schemaRef ds:uri="87659fad-a541-4ebd-b9b3-631874470b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20</vt:i4>
      </vt:variant>
      <vt:variant>
        <vt:lpstr>Barruti izendunak</vt:lpstr>
      </vt:variant>
      <vt:variant>
        <vt:i4>2</vt:i4>
      </vt:variant>
    </vt:vector>
  </HeadingPairs>
  <TitlesOfParts>
    <vt:vector size="22" baseType="lpstr">
      <vt:lpstr>Evol. Muj.</vt:lpstr>
      <vt:lpstr>Evol. Lic.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'2005'!Inprimatzeko_area</vt:lpstr>
      <vt:lpstr>'2006'!Inprimatzeko_area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EJ07407M</dc:creator>
  <cp:lastModifiedBy>Ugalde Usandizaga, Dorleta</cp:lastModifiedBy>
  <cp:lastPrinted>2013-09-25T14:31:05Z</cp:lastPrinted>
  <dcterms:created xsi:type="dcterms:W3CDTF">2006-10-05T07:13:36Z</dcterms:created>
  <dcterms:modified xsi:type="dcterms:W3CDTF">2023-07-19T11:46:51Z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